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9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10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tables/table13.xml" ContentType="application/vnd.openxmlformats-officedocument.spreadsheetml.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tables/table14.xml" ContentType="application/vnd.openxmlformats-officedocument.spreadsheetml.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tables/table15.xml" ContentType="application/vnd.openxmlformats-officedocument.spreadsheetml.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tables/table16.xml" ContentType="application/vnd.openxmlformats-officedocument.spreadsheetml.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tables/table17.xml" ContentType="application/vnd.openxmlformats-officedocument.spreadsheetml.tab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tables/table18.xml" ContentType="application/vnd.openxmlformats-officedocument.spreadsheetml.tab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tables/table19.xml" ContentType="application/vnd.openxmlformats-officedocument.spreadsheetml.tab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uario\Desktop\Contrato info completa\Disciplina operacional\"/>
    </mc:Choice>
  </mc:AlternateContent>
  <bookViews>
    <workbookView xWindow="0" yWindow="0" windowWidth="23040" windowHeight="9192" tabRatio="995" activeTab="15"/>
  </bookViews>
  <sheets>
    <sheet name="TTE 6 " sheetId="21" r:id="rId1"/>
    <sheet name="SUB 5" sheetId="29" r:id="rId2"/>
    <sheet name="SUB 6" sheetId="26" r:id="rId3"/>
    <sheet name="PIPA N" sheetId="27" r:id="rId4"/>
    <sheet name="DIABLO" sheetId="25" r:id="rId5"/>
    <sheet name="ACCU" sheetId="34" r:id="rId6"/>
    <sheet name="Salvataje" sheetId="45" r:id="rId7"/>
    <sheet name="Vent " sheetId="35" r:id="rId8"/>
    <sheet name="P M" sheetId="36" r:id="rId9"/>
    <sheet name="La junta" sheetId="39" r:id="rId10"/>
    <sheet name="AC" sheetId="37" r:id="rId11"/>
    <sheet name="Colec" sheetId="38" r:id="rId12"/>
    <sheet name="TTE 7" sheetId="40" r:id="rId13"/>
    <sheet name="CH colon" sheetId="42" r:id="rId14"/>
    <sheet name="Disc Op" sheetId="30" r:id="rId15"/>
    <sheet name="VIMO" sheetId="47" r:id="rId16"/>
    <sheet name="Brocales" sheetId="48" r:id="rId17"/>
    <sheet name="Est sup" sheetId="43" r:id="rId18"/>
    <sheet name="Est mina" sheetId="44" r:id="rId19"/>
    <sheet name="Est ACU" sheetId="46" r:id="rId20"/>
    <sheet name="Tableros " sheetId="22" r:id="rId2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2" i="47" l="1"/>
  <c r="O31" i="47"/>
  <c r="L32" i="47"/>
  <c r="L31" i="47"/>
  <c r="I32" i="47"/>
  <c r="I31" i="47"/>
  <c r="F32" i="47"/>
  <c r="F31" i="47"/>
  <c r="C32" i="47"/>
  <c r="C31" i="47"/>
  <c r="D24" i="47"/>
  <c r="D23" i="47"/>
  <c r="P24" i="47"/>
  <c r="P23" i="47"/>
  <c r="M24" i="47"/>
  <c r="M23" i="47"/>
  <c r="J24" i="47"/>
  <c r="J23" i="47"/>
  <c r="G24" i="47"/>
  <c r="G23" i="47"/>
  <c r="O16" i="47"/>
  <c r="O15" i="47"/>
  <c r="L16" i="47"/>
  <c r="L15" i="47"/>
  <c r="I16" i="47"/>
  <c r="I15" i="47"/>
  <c r="F16" i="47"/>
  <c r="F15" i="47"/>
  <c r="C16" i="47"/>
  <c r="C15" i="47"/>
  <c r="P12" i="47"/>
  <c r="P11" i="47"/>
  <c r="M12" i="47"/>
  <c r="M11" i="47"/>
  <c r="J12" i="47"/>
  <c r="J11" i="47"/>
  <c r="G12" i="47"/>
  <c r="G11" i="47"/>
  <c r="D12" i="47"/>
  <c r="D11" i="47"/>
  <c r="O8" i="47"/>
  <c r="O7" i="47"/>
  <c r="L8" i="47"/>
  <c r="L7" i="47"/>
  <c r="I8" i="47"/>
  <c r="I7" i="47"/>
  <c r="F8" i="47"/>
  <c r="F7" i="47"/>
  <c r="C8" i="47"/>
  <c r="C7" i="47"/>
  <c r="C7" i="42" l="1"/>
  <c r="C6" i="42"/>
  <c r="C5" i="42"/>
  <c r="C4" i="42"/>
  <c r="C3" i="42"/>
  <c r="X11" i="47" l="1"/>
  <c r="X12" i="47"/>
  <c r="Y7" i="48" l="1"/>
  <c r="Z7" i="48"/>
  <c r="Z6" i="48"/>
  <c r="O52" i="47"/>
  <c r="O51" i="47"/>
  <c r="L52" i="47"/>
  <c r="L51" i="47"/>
  <c r="I52" i="47"/>
  <c r="I51" i="47"/>
  <c r="F52" i="47"/>
  <c r="F51" i="47"/>
  <c r="C52" i="47"/>
  <c r="C51" i="47"/>
  <c r="P48" i="47"/>
  <c r="P47" i="47"/>
  <c r="M48" i="47"/>
  <c r="M47" i="47"/>
  <c r="J48" i="47"/>
  <c r="J47" i="47"/>
  <c r="G48" i="47"/>
  <c r="G47" i="47"/>
  <c r="O44" i="47"/>
  <c r="O43" i="47"/>
  <c r="L44" i="47"/>
  <c r="L43" i="47"/>
  <c r="I44" i="47"/>
  <c r="I43" i="47"/>
  <c r="F44" i="47"/>
  <c r="F43" i="47"/>
  <c r="U3" i="48" l="1"/>
  <c r="R3" i="48"/>
  <c r="O3" i="48"/>
  <c r="L3" i="48"/>
  <c r="I3" i="48"/>
  <c r="F3" i="48"/>
  <c r="C3" i="48"/>
  <c r="X7" i="48"/>
  <c r="Y6" i="48"/>
  <c r="X6" i="48"/>
  <c r="AA7" i="48" l="1"/>
  <c r="AB7" i="48" s="1"/>
  <c r="AA6" i="48"/>
  <c r="AB6" i="48" s="1"/>
  <c r="P56" i="47"/>
  <c r="P55" i="47"/>
  <c r="M56" i="47"/>
  <c r="M55" i="47"/>
  <c r="J56" i="47"/>
  <c r="J55" i="47"/>
  <c r="G56" i="47"/>
  <c r="G55" i="47"/>
  <c r="D56" i="47"/>
  <c r="D55" i="47"/>
  <c r="D48" i="47"/>
  <c r="Y48" i="47" s="1"/>
  <c r="D47" i="47"/>
  <c r="Y47" i="47" s="1"/>
  <c r="C44" i="47"/>
  <c r="X44" i="47" s="1"/>
  <c r="C43" i="47"/>
  <c r="X43" i="47" s="1"/>
  <c r="X24" i="47"/>
  <c r="X16" i="47"/>
  <c r="X15" i="47"/>
  <c r="X23" i="47" l="1"/>
  <c r="Y12" i="47"/>
  <c r="Y11" i="47"/>
  <c r="X8" i="47"/>
  <c r="X7" i="47"/>
  <c r="Y43" i="47" l="1"/>
  <c r="C40" i="47"/>
  <c r="C39" i="47"/>
  <c r="C36" i="47"/>
  <c r="C35" i="47"/>
  <c r="O28" i="47"/>
  <c r="O27" i="47"/>
  <c r="L28" i="47"/>
  <c r="L27" i="47"/>
  <c r="I28" i="47"/>
  <c r="I27" i="47"/>
  <c r="F28" i="47"/>
  <c r="F27" i="47"/>
  <c r="C20" i="47"/>
  <c r="C19" i="47"/>
  <c r="Y44" i="47" l="1"/>
  <c r="T4" i="47" l="1"/>
  <c r="Q4" i="47"/>
  <c r="C6" i="34"/>
  <c r="C7" i="34"/>
  <c r="N4" i="47"/>
  <c r="K4" i="47"/>
  <c r="H4" i="47"/>
  <c r="E4" i="47"/>
  <c r="B4" i="47"/>
  <c r="O60" i="47" l="1"/>
  <c r="L60" i="47"/>
  <c r="I60" i="47"/>
  <c r="F60" i="47"/>
  <c r="O59" i="47"/>
  <c r="L59" i="47"/>
  <c r="I59" i="47"/>
  <c r="F59" i="47"/>
  <c r="C60" i="47"/>
  <c r="C59" i="47"/>
  <c r="X56" i="47"/>
  <c r="X55" i="47"/>
  <c r="X51" i="47"/>
  <c r="Y52" i="47"/>
  <c r="Y51" i="47"/>
  <c r="X48" i="47"/>
  <c r="X47" i="47"/>
  <c r="O40" i="47"/>
  <c r="L40" i="47"/>
  <c r="I40" i="47"/>
  <c r="F40" i="47"/>
  <c r="O39" i="47"/>
  <c r="L39" i="47"/>
  <c r="I39" i="47"/>
  <c r="F39" i="47"/>
  <c r="O36" i="47"/>
  <c r="L36" i="47"/>
  <c r="I36" i="47"/>
  <c r="F36" i="47"/>
  <c r="O35" i="47"/>
  <c r="L35" i="47"/>
  <c r="I35" i="47"/>
  <c r="F35" i="47"/>
  <c r="C28" i="47"/>
  <c r="X28" i="47" s="1"/>
  <c r="C27" i="47"/>
  <c r="X27" i="47" s="1"/>
  <c r="O20" i="47"/>
  <c r="L20" i="47"/>
  <c r="I20" i="47"/>
  <c r="F20" i="47"/>
  <c r="O19" i="47"/>
  <c r="L19" i="47"/>
  <c r="I19" i="47"/>
  <c r="F19" i="47"/>
  <c r="Y8" i="47"/>
  <c r="Y7" i="47"/>
  <c r="Y61" i="47"/>
  <c r="W61" i="47"/>
  <c r="Y60" i="47"/>
  <c r="X60" i="47"/>
  <c r="W60" i="47"/>
  <c r="Y59" i="47"/>
  <c r="W59" i="47"/>
  <c r="W57" i="47"/>
  <c r="Y56" i="47"/>
  <c r="W56" i="47"/>
  <c r="Y55" i="47"/>
  <c r="W55" i="47"/>
  <c r="W53" i="47"/>
  <c r="X52" i="47"/>
  <c r="W52" i="47"/>
  <c r="W51" i="47"/>
  <c r="W49" i="47"/>
  <c r="W48" i="47"/>
  <c r="W47" i="47"/>
  <c r="W45" i="47"/>
  <c r="W44" i="47"/>
  <c r="W43" i="47"/>
  <c r="Y41" i="47"/>
  <c r="W41" i="47"/>
  <c r="Y40" i="47"/>
  <c r="W40" i="47"/>
  <c r="Y39" i="47"/>
  <c r="W39" i="47"/>
  <c r="Y37" i="47"/>
  <c r="W37" i="47"/>
  <c r="Y36" i="47"/>
  <c r="W36" i="47"/>
  <c r="Y35" i="47"/>
  <c r="W35" i="47"/>
  <c r="W33" i="47"/>
  <c r="Y32" i="47"/>
  <c r="W32" i="47"/>
  <c r="Y31" i="47"/>
  <c r="W31" i="47"/>
  <c r="W29" i="47"/>
  <c r="Y28" i="47"/>
  <c r="W28" i="47"/>
  <c r="Y27" i="47"/>
  <c r="W27" i="47"/>
  <c r="W25" i="47"/>
  <c r="Y24" i="47"/>
  <c r="W24" i="47"/>
  <c r="Y23" i="47"/>
  <c r="W23" i="47"/>
  <c r="Y21" i="47"/>
  <c r="W21" i="47"/>
  <c r="Y20" i="47"/>
  <c r="W20" i="47"/>
  <c r="Y19" i="47"/>
  <c r="W19" i="47"/>
  <c r="W17" i="47"/>
  <c r="W16" i="47"/>
  <c r="W15" i="47"/>
  <c r="W13" i="47"/>
  <c r="W12" i="47"/>
  <c r="W11" i="47"/>
  <c r="W9" i="47"/>
  <c r="W8" i="47"/>
  <c r="W7" i="47"/>
  <c r="X40" i="47" l="1"/>
  <c r="X59" i="47"/>
  <c r="X39" i="47"/>
  <c r="X20" i="47"/>
  <c r="Y16" i="47"/>
  <c r="X31" i="47"/>
  <c r="X36" i="47"/>
  <c r="Y15" i="47"/>
  <c r="X32" i="47"/>
  <c r="X19" i="47"/>
  <c r="X35" i="47"/>
  <c r="C7" i="45" l="1"/>
  <c r="C7" i="29"/>
  <c r="C6" i="29"/>
  <c r="C4" i="29"/>
  <c r="C5" i="29"/>
  <c r="C3" i="29"/>
  <c r="C6" i="40" l="1"/>
  <c r="C7" i="40"/>
  <c r="C7" i="39"/>
  <c r="C4" i="38"/>
  <c r="C5" i="38"/>
  <c r="C6" i="38"/>
  <c r="C7" i="38"/>
  <c r="C6" i="37"/>
  <c r="C7" i="37"/>
  <c r="C6" i="36"/>
  <c r="C7" i="36"/>
  <c r="C6" i="35"/>
  <c r="C7" i="35"/>
  <c r="C4" i="34"/>
  <c r="C5" i="34"/>
  <c r="C4" i="25"/>
  <c r="C5" i="25"/>
  <c r="C6" i="25"/>
  <c r="C7" i="25"/>
  <c r="C4" i="27"/>
  <c r="C5" i="27"/>
  <c r="C6" i="27"/>
  <c r="C7" i="27"/>
  <c r="C4" i="26"/>
  <c r="C5" i="26"/>
  <c r="C6" i="26"/>
  <c r="C7" i="26"/>
  <c r="C3" i="37" l="1"/>
  <c r="C4" i="37"/>
  <c r="C5" i="37"/>
  <c r="C4" i="40" l="1"/>
  <c r="C5" i="40"/>
  <c r="C3" i="40"/>
  <c r="C4" i="39"/>
  <c r="C5" i="39"/>
  <c r="C6" i="39"/>
  <c r="C3" i="39"/>
  <c r="C3" i="38"/>
  <c r="C4" i="36"/>
  <c r="C5" i="36"/>
  <c r="C3" i="36"/>
  <c r="C4" i="35"/>
  <c r="C5" i="35"/>
  <c r="C3" i="35"/>
  <c r="C4" i="45"/>
  <c r="C5" i="45"/>
  <c r="C6" i="45"/>
  <c r="C3" i="45"/>
  <c r="C3" i="34"/>
  <c r="C3" i="25"/>
  <c r="C3" i="27"/>
  <c r="C3" i="26"/>
  <c r="G16" i="45" l="1"/>
  <c r="C37" i="47" s="1"/>
  <c r="G20" i="45" l="1"/>
  <c r="O37" i="47" s="1"/>
  <c r="G19" i="45"/>
  <c r="L37" i="47" s="1"/>
  <c r="G18" i="45"/>
  <c r="I37" i="47" s="1"/>
  <c r="G17" i="45"/>
  <c r="F37" i="47" s="1"/>
  <c r="AC7" i="45"/>
  <c r="AB7" i="45"/>
  <c r="AA7" i="45"/>
  <c r="Z7" i="45"/>
  <c r="Y7" i="45"/>
  <c r="X7" i="45"/>
  <c r="W7" i="45"/>
  <c r="V7" i="45"/>
  <c r="U7" i="45"/>
  <c r="T7" i="45"/>
  <c r="S7" i="45"/>
  <c r="R7" i="45"/>
  <c r="Q7" i="45"/>
  <c r="P7" i="45"/>
  <c r="O7" i="45"/>
  <c r="AC6" i="45"/>
  <c r="AB6" i="45"/>
  <c r="AA6" i="45"/>
  <c r="Z6" i="45"/>
  <c r="Y6" i="45"/>
  <c r="X6" i="45"/>
  <c r="W6" i="45"/>
  <c r="V6" i="45"/>
  <c r="U6" i="45"/>
  <c r="T6" i="45"/>
  <c r="S6" i="45"/>
  <c r="R6" i="45"/>
  <c r="Q6" i="45"/>
  <c r="P6" i="45"/>
  <c r="O6" i="45"/>
  <c r="AC5" i="45"/>
  <c r="AB5" i="45"/>
  <c r="AA5" i="45"/>
  <c r="Z5" i="45"/>
  <c r="Y5" i="45"/>
  <c r="X5" i="45"/>
  <c r="W5" i="45"/>
  <c r="V5" i="45"/>
  <c r="U5" i="45"/>
  <c r="T5" i="45"/>
  <c r="S5" i="45"/>
  <c r="R5" i="45"/>
  <c r="Q5" i="45"/>
  <c r="P5" i="45"/>
  <c r="O5" i="45"/>
  <c r="AC4" i="45"/>
  <c r="AB4" i="45"/>
  <c r="AA4" i="45"/>
  <c r="Z4" i="45"/>
  <c r="Y4" i="45"/>
  <c r="X4" i="45"/>
  <c r="W4" i="45"/>
  <c r="V4" i="45"/>
  <c r="U4" i="45"/>
  <c r="T4" i="45"/>
  <c r="S4" i="45"/>
  <c r="R4" i="45"/>
  <c r="Q4" i="45"/>
  <c r="P4" i="45"/>
  <c r="O4" i="45"/>
  <c r="AC3" i="45"/>
  <c r="AB3" i="45"/>
  <c r="AA3" i="45"/>
  <c r="Z3" i="45"/>
  <c r="Y3" i="45"/>
  <c r="X3" i="45"/>
  <c r="W3" i="45"/>
  <c r="V3" i="45"/>
  <c r="U3" i="45"/>
  <c r="T3" i="45"/>
  <c r="S3" i="45"/>
  <c r="R3" i="45"/>
  <c r="Q3" i="45"/>
  <c r="P3" i="45"/>
  <c r="O3" i="45"/>
  <c r="X37" i="47" l="1"/>
  <c r="G21" i="45"/>
  <c r="G23" i="45" s="1"/>
  <c r="G16" i="37"/>
  <c r="C45" i="47" s="1"/>
  <c r="G17" i="37"/>
  <c r="F45" i="47" s="1"/>
  <c r="G18" i="37"/>
  <c r="I45" i="47" s="1"/>
  <c r="G19" i="37"/>
  <c r="L45" i="47" s="1"/>
  <c r="S3" i="37"/>
  <c r="S4" i="37"/>
  <c r="S5" i="37"/>
  <c r="S6" i="37"/>
  <c r="S7" i="37"/>
  <c r="S3" i="29"/>
  <c r="R3" i="37"/>
  <c r="T6" i="29"/>
  <c r="G16" i="29"/>
  <c r="C17" i="47" s="1"/>
  <c r="G19" i="29"/>
  <c r="L17" i="47" s="1"/>
  <c r="G20" i="29"/>
  <c r="O17" i="47" s="1"/>
  <c r="C9" i="30" l="1"/>
  <c r="D9" i="30" s="1"/>
  <c r="I27" i="22" l="1"/>
  <c r="I26" i="22"/>
  <c r="I25" i="22"/>
  <c r="I24" i="22"/>
  <c r="I23" i="22"/>
  <c r="I22" i="22"/>
  <c r="I18" i="22"/>
  <c r="I17" i="22"/>
  <c r="I16" i="22"/>
  <c r="I15" i="22"/>
  <c r="I14" i="22"/>
  <c r="I13" i="22"/>
  <c r="I9" i="22"/>
  <c r="I8" i="22"/>
  <c r="I7" i="22"/>
  <c r="I6" i="22"/>
  <c r="I5" i="22"/>
  <c r="I4" i="22"/>
  <c r="G20" i="42"/>
  <c r="O33" i="47" s="1"/>
  <c r="G19" i="42"/>
  <c r="L33" i="47" s="1"/>
  <c r="G18" i="42"/>
  <c r="I33" i="47" s="1"/>
  <c r="G17" i="42"/>
  <c r="F33" i="47" s="1"/>
  <c r="G16" i="42"/>
  <c r="C33" i="47" s="1"/>
  <c r="M9" i="42"/>
  <c r="AC7" i="42"/>
  <c r="AB7" i="42"/>
  <c r="AA7" i="42"/>
  <c r="Z7" i="42"/>
  <c r="Y7" i="42"/>
  <c r="X7" i="42"/>
  <c r="W7" i="42"/>
  <c r="V7" i="42"/>
  <c r="U7" i="42"/>
  <c r="T7" i="42"/>
  <c r="S7" i="42"/>
  <c r="R7" i="42"/>
  <c r="Q7" i="42"/>
  <c r="P7" i="42"/>
  <c r="O7" i="42"/>
  <c r="AC6" i="42"/>
  <c r="AB6" i="42"/>
  <c r="AA6" i="42"/>
  <c r="Z6" i="42"/>
  <c r="Y6" i="42"/>
  <c r="X6" i="42"/>
  <c r="W6" i="42"/>
  <c r="V6" i="42"/>
  <c r="U6" i="42"/>
  <c r="T6" i="42"/>
  <c r="S6" i="42"/>
  <c r="R6" i="42"/>
  <c r="Q6" i="42"/>
  <c r="P6" i="42"/>
  <c r="O6" i="42"/>
  <c r="AC5" i="42"/>
  <c r="AB5" i="42"/>
  <c r="AA5" i="42"/>
  <c r="Z5" i="42"/>
  <c r="Y5" i="42"/>
  <c r="X5" i="42"/>
  <c r="W5" i="42"/>
  <c r="V5" i="42"/>
  <c r="U5" i="42"/>
  <c r="T5" i="42"/>
  <c r="S5" i="42"/>
  <c r="R5" i="42"/>
  <c r="Q5" i="42"/>
  <c r="P5" i="42"/>
  <c r="O5" i="42"/>
  <c r="AC4" i="42"/>
  <c r="AB4" i="42"/>
  <c r="AA4" i="42"/>
  <c r="Z4" i="42"/>
  <c r="Y4" i="42"/>
  <c r="X4" i="42"/>
  <c r="W4" i="42"/>
  <c r="V4" i="42"/>
  <c r="U4" i="42"/>
  <c r="T4" i="42"/>
  <c r="S4" i="42"/>
  <c r="R4" i="42"/>
  <c r="Q4" i="42"/>
  <c r="P4" i="42"/>
  <c r="O4" i="42"/>
  <c r="AC3" i="42"/>
  <c r="AB3" i="42"/>
  <c r="AA3" i="42"/>
  <c r="Z3" i="42"/>
  <c r="Y3" i="42"/>
  <c r="X3" i="42"/>
  <c r="W3" i="42"/>
  <c r="V3" i="42"/>
  <c r="U3" i="42"/>
  <c r="T3" i="42"/>
  <c r="S3" i="42"/>
  <c r="R3" i="42"/>
  <c r="Q3" i="42"/>
  <c r="P3" i="42"/>
  <c r="O3" i="42"/>
  <c r="G20" i="40"/>
  <c r="O9" i="47" s="1"/>
  <c r="G19" i="40"/>
  <c r="L9" i="47" s="1"/>
  <c r="G18" i="40"/>
  <c r="I9" i="47" s="1"/>
  <c r="G17" i="40"/>
  <c r="F9" i="47" s="1"/>
  <c r="G16" i="40"/>
  <c r="C9" i="47" s="1"/>
  <c r="M9" i="40"/>
  <c r="AC7" i="40"/>
  <c r="AB7" i="40"/>
  <c r="AA7" i="40"/>
  <c r="Z7" i="40"/>
  <c r="Y7" i="40"/>
  <c r="X7" i="40"/>
  <c r="W7" i="40"/>
  <c r="V7" i="40"/>
  <c r="U7" i="40"/>
  <c r="T7" i="40"/>
  <c r="S7" i="40"/>
  <c r="R7" i="40"/>
  <c r="Q7" i="40"/>
  <c r="P7" i="40"/>
  <c r="O7" i="40"/>
  <c r="AC6" i="40"/>
  <c r="AB6" i="40"/>
  <c r="AA6" i="40"/>
  <c r="Z6" i="40"/>
  <c r="Y6" i="40"/>
  <c r="X6" i="40"/>
  <c r="W6" i="40"/>
  <c r="V6" i="40"/>
  <c r="U6" i="40"/>
  <c r="T6" i="40"/>
  <c r="S6" i="40"/>
  <c r="R6" i="40"/>
  <c r="Q6" i="40"/>
  <c r="P6" i="40"/>
  <c r="O6" i="40"/>
  <c r="AC5" i="40"/>
  <c r="AB5" i="40"/>
  <c r="AA5" i="40"/>
  <c r="Z5" i="40"/>
  <c r="Y5" i="40"/>
  <c r="X5" i="40"/>
  <c r="W5" i="40"/>
  <c r="V5" i="40"/>
  <c r="U5" i="40"/>
  <c r="T5" i="40"/>
  <c r="S5" i="40"/>
  <c r="R5" i="40"/>
  <c r="Q5" i="40"/>
  <c r="P5" i="40"/>
  <c r="O5" i="40"/>
  <c r="AC4" i="40"/>
  <c r="AB4" i="40"/>
  <c r="AA4" i="40"/>
  <c r="Z4" i="40"/>
  <c r="Y4" i="40"/>
  <c r="X4" i="40"/>
  <c r="W4" i="40"/>
  <c r="V4" i="40"/>
  <c r="U4" i="40"/>
  <c r="T4" i="40"/>
  <c r="S4" i="40"/>
  <c r="R4" i="40"/>
  <c r="Q4" i="40"/>
  <c r="P4" i="40"/>
  <c r="O4" i="40"/>
  <c r="AC3" i="40"/>
  <c r="AB3" i="40"/>
  <c r="AA3" i="40"/>
  <c r="Z3" i="40"/>
  <c r="Y3" i="40"/>
  <c r="X3" i="40"/>
  <c r="W3" i="40"/>
  <c r="V3" i="40"/>
  <c r="U3" i="40"/>
  <c r="T3" i="40"/>
  <c r="S3" i="40"/>
  <c r="R3" i="40"/>
  <c r="Q3" i="40"/>
  <c r="P3" i="40"/>
  <c r="O3" i="40"/>
  <c r="G20" i="39"/>
  <c r="O41" i="47" s="1"/>
  <c r="G19" i="39"/>
  <c r="L41" i="47" s="1"/>
  <c r="G18" i="39"/>
  <c r="I41" i="47" s="1"/>
  <c r="G17" i="39"/>
  <c r="F41" i="47" s="1"/>
  <c r="G16" i="39"/>
  <c r="C41" i="47" s="1"/>
  <c r="M9" i="39"/>
  <c r="AC7" i="39"/>
  <c r="AB7" i="39"/>
  <c r="AA7" i="39"/>
  <c r="Z7" i="39"/>
  <c r="Y7" i="39"/>
  <c r="X7" i="39"/>
  <c r="W7" i="39"/>
  <c r="V7" i="39"/>
  <c r="U7" i="39"/>
  <c r="T7" i="39"/>
  <c r="S7" i="39"/>
  <c r="R7" i="39"/>
  <c r="Q7" i="39"/>
  <c r="P7" i="39"/>
  <c r="O7" i="39"/>
  <c r="AC6" i="39"/>
  <c r="AB6" i="39"/>
  <c r="AA6" i="39"/>
  <c r="Z6" i="39"/>
  <c r="Y6" i="39"/>
  <c r="X6" i="39"/>
  <c r="W6" i="39"/>
  <c r="V6" i="39"/>
  <c r="U6" i="39"/>
  <c r="T6" i="39"/>
  <c r="S6" i="39"/>
  <c r="R6" i="39"/>
  <c r="Q6" i="39"/>
  <c r="P6" i="39"/>
  <c r="O6" i="39"/>
  <c r="AC5" i="39"/>
  <c r="AB5" i="39"/>
  <c r="AA5" i="39"/>
  <c r="Z5" i="39"/>
  <c r="Y5" i="39"/>
  <c r="X5" i="39"/>
  <c r="W5" i="39"/>
  <c r="V5" i="39"/>
  <c r="U5" i="39"/>
  <c r="T5" i="39"/>
  <c r="S5" i="39"/>
  <c r="R5" i="39"/>
  <c r="Q5" i="39"/>
  <c r="P5" i="39"/>
  <c r="O5" i="39"/>
  <c r="AC4" i="39"/>
  <c r="AB4" i="39"/>
  <c r="AA4" i="39"/>
  <c r="Z4" i="39"/>
  <c r="Y4" i="39"/>
  <c r="X4" i="39"/>
  <c r="W4" i="39"/>
  <c r="V4" i="39"/>
  <c r="U4" i="39"/>
  <c r="T4" i="39"/>
  <c r="S4" i="39"/>
  <c r="R4" i="39"/>
  <c r="Q4" i="39"/>
  <c r="P4" i="39"/>
  <c r="O4" i="39"/>
  <c r="AC3" i="39"/>
  <c r="AB3" i="39"/>
  <c r="AA3" i="39"/>
  <c r="Z3" i="39"/>
  <c r="Y3" i="39"/>
  <c r="X3" i="39"/>
  <c r="W3" i="39"/>
  <c r="V3" i="39"/>
  <c r="U3" i="39"/>
  <c r="T3" i="39"/>
  <c r="S3" i="39"/>
  <c r="R3" i="39"/>
  <c r="Q3" i="39"/>
  <c r="P3" i="39"/>
  <c r="O3" i="39"/>
  <c r="O3" i="38"/>
  <c r="P3" i="38"/>
  <c r="Q3" i="38"/>
  <c r="R3" i="38"/>
  <c r="S3" i="38"/>
  <c r="T3" i="38"/>
  <c r="U3" i="38"/>
  <c r="V3" i="38"/>
  <c r="W3" i="38"/>
  <c r="X3" i="38"/>
  <c r="Y3" i="38"/>
  <c r="Z3" i="38"/>
  <c r="AA3" i="38"/>
  <c r="AB3" i="38"/>
  <c r="AC3" i="38"/>
  <c r="O4" i="38"/>
  <c r="P4" i="38"/>
  <c r="Q4" i="38"/>
  <c r="R4" i="38"/>
  <c r="S4" i="38"/>
  <c r="T4" i="38"/>
  <c r="U4" i="38"/>
  <c r="V4" i="38"/>
  <c r="W4" i="38"/>
  <c r="X4" i="38"/>
  <c r="Y4" i="38"/>
  <c r="Z4" i="38"/>
  <c r="AA4" i="38"/>
  <c r="AB4" i="38"/>
  <c r="AC4" i="38"/>
  <c r="O5" i="38"/>
  <c r="P5" i="38"/>
  <c r="Q5" i="38"/>
  <c r="R5" i="38"/>
  <c r="S5" i="38"/>
  <c r="T5" i="38"/>
  <c r="U5" i="38"/>
  <c r="V5" i="38"/>
  <c r="W5" i="38"/>
  <c r="X5" i="38"/>
  <c r="Y5" i="38"/>
  <c r="Z5" i="38"/>
  <c r="AA5" i="38"/>
  <c r="AB5" i="38"/>
  <c r="AC5" i="38"/>
  <c r="O6" i="38"/>
  <c r="P6" i="38"/>
  <c r="Q6" i="38"/>
  <c r="R6" i="38"/>
  <c r="S6" i="38"/>
  <c r="T6" i="38"/>
  <c r="U6" i="38"/>
  <c r="V6" i="38"/>
  <c r="W6" i="38"/>
  <c r="X6" i="38"/>
  <c r="Y6" i="38"/>
  <c r="Z6" i="38"/>
  <c r="AA6" i="38"/>
  <c r="AB6" i="38"/>
  <c r="AC6" i="38"/>
  <c r="O7" i="38"/>
  <c r="P7" i="38"/>
  <c r="Q7" i="38"/>
  <c r="R7" i="38"/>
  <c r="S7" i="38"/>
  <c r="T7" i="38"/>
  <c r="U7" i="38"/>
  <c r="V7" i="38"/>
  <c r="W7" i="38"/>
  <c r="X7" i="38"/>
  <c r="Y7" i="38"/>
  <c r="Z7" i="38"/>
  <c r="AA7" i="38"/>
  <c r="AB7" i="38"/>
  <c r="AC7" i="38"/>
  <c r="M9" i="38"/>
  <c r="G16" i="38"/>
  <c r="D49" i="47" s="1"/>
  <c r="G17" i="38"/>
  <c r="G49" i="47" s="1"/>
  <c r="G18" i="38"/>
  <c r="J49" i="47" s="1"/>
  <c r="G19" i="38"/>
  <c r="M49" i="47" s="1"/>
  <c r="G20" i="38"/>
  <c r="P49" i="47" s="1"/>
  <c r="G20" i="37"/>
  <c r="O45" i="47" s="1"/>
  <c r="X45" i="47" s="1"/>
  <c r="M9" i="37"/>
  <c r="AC7" i="37"/>
  <c r="AB7" i="37"/>
  <c r="AA7" i="37"/>
  <c r="Z7" i="37"/>
  <c r="Y7" i="37"/>
  <c r="X7" i="37"/>
  <c r="W7" i="37"/>
  <c r="V7" i="37"/>
  <c r="U7" i="37"/>
  <c r="T7" i="37"/>
  <c r="R7" i="37"/>
  <c r="Q7" i="37"/>
  <c r="P7" i="37"/>
  <c r="AC6" i="37"/>
  <c r="AB6" i="37"/>
  <c r="AA6" i="37"/>
  <c r="Z6" i="37"/>
  <c r="Y6" i="37"/>
  <c r="X6" i="37"/>
  <c r="W6" i="37"/>
  <c r="V6" i="37"/>
  <c r="U6" i="37"/>
  <c r="T6" i="37"/>
  <c r="R6" i="37"/>
  <c r="Q6" i="37"/>
  <c r="P6" i="37"/>
  <c r="AC5" i="37"/>
  <c r="AB5" i="37"/>
  <c r="AA5" i="37"/>
  <c r="Z5" i="37"/>
  <c r="Y5" i="37"/>
  <c r="X5" i="37"/>
  <c r="W5" i="37"/>
  <c r="V5" i="37"/>
  <c r="U5" i="37"/>
  <c r="T5" i="37"/>
  <c r="R5" i="37"/>
  <c r="Q5" i="37"/>
  <c r="P5" i="37"/>
  <c r="AC4" i="37"/>
  <c r="AB4" i="37"/>
  <c r="AA4" i="37"/>
  <c r="Z4" i="37"/>
  <c r="Y4" i="37"/>
  <c r="X4" i="37"/>
  <c r="W4" i="37"/>
  <c r="V4" i="37"/>
  <c r="U4" i="37"/>
  <c r="T4" i="37"/>
  <c r="R4" i="37"/>
  <c r="Q4" i="37"/>
  <c r="P4" i="37"/>
  <c r="AC3" i="37"/>
  <c r="AB3" i="37"/>
  <c r="AA3" i="37"/>
  <c r="Z3" i="37"/>
  <c r="Y3" i="37"/>
  <c r="X3" i="37"/>
  <c r="W3" i="37"/>
  <c r="V3" i="37"/>
  <c r="U3" i="37"/>
  <c r="T3" i="37"/>
  <c r="Q3" i="37"/>
  <c r="P3" i="37"/>
  <c r="G20" i="36"/>
  <c r="L53" i="47" s="1"/>
  <c r="G19" i="36"/>
  <c r="I53" i="47" s="1"/>
  <c r="G18" i="36"/>
  <c r="G17" i="36"/>
  <c r="F53" i="47" s="1"/>
  <c r="G16" i="36"/>
  <c r="C53" i="47" s="1"/>
  <c r="M9" i="36"/>
  <c r="AC7" i="36"/>
  <c r="AB7" i="36"/>
  <c r="AA7" i="36"/>
  <c r="Z7" i="36"/>
  <c r="Y7" i="36"/>
  <c r="X7" i="36"/>
  <c r="W7" i="36"/>
  <c r="V7" i="36"/>
  <c r="U7" i="36"/>
  <c r="T7" i="36"/>
  <c r="S7" i="36"/>
  <c r="R7" i="36"/>
  <c r="Q7" i="36"/>
  <c r="P7" i="36"/>
  <c r="O7" i="36"/>
  <c r="AC6" i="36"/>
  <c r="AB6" i="36"/>
  <c r="AA6" i="36"/>
  <c r="Z6" i="36"/>
  <c r="Y6" i="36"/>
  <c r="X6" i="36"/>
  <c r="W6" i="36"/>
  <c r="V6" i="36"/>
  <c r="U6" i="36"/>
  <c r="T6" i="36"/>
  <c r="S6" i="36"/>
  <c r="R6" i="36"/>
  <c r="Q6" i="36"/>
  <c r="P6" i="36"/>
  <c r="O6" i="36"/>
  <c r="AC5" i="36"/>
  <c r="AB5" i="36"/>
  <c r="AA5" i="36"/>
  <c r="Z5" i="36"/>
  <c r="Y5" i="36"/>
  <c r="X5" i="36"/>
  <c r="W5" i="36"/>
  <c r="V5" i="36"/>
  <c r="U5" i="36"/>
  <c r="T5" i="36"/>
  <c r="S5" i="36"/>
  <c r="R5" i="36"/>
  <c r="Q5" i="36"/>
  <c r="P5" i="36"/>
  <c r="O5" i="36"/>
  <c r="AC4" i="36"/>
  <c r="AB4" i="36"/>
  <c r="AA4" i="36"/>
  <c r="Z4" i="36"/>
  <c r="Y4" i="36"/>
  <c r="X4" i="36"/>
  <c r="W4" i="36"/>
  <c r="V4" i="36"/>
  <c r="U4" i="36"/>
  <c r="T4" i="36"/>
  <c r="S4" i="36"/>
  <c r="R4" i="36"/>
  <c r="Q4" i="36"/>
  <c r="P4" i="36"/>
  <c r="O4" i="36"/>
  <c r="AC3" i="36"/>
  <c r="AB3" i="36"/>
  <c r="AA3" i="36"/>
  <c r="Z3" i="36"/>
  <c r="Y3" i="36"/>
  <c r="X3" i="36"/>
  <c r="W3" i="36"/>
  <c r="V3" i="36"/>
  <c r="U3" i="36"/>
  <c r="T3" i="36"/>
  <c r="S3" i="36"/>
  <c r="R3" i="36"/>
  <c r="Q3" i="36"/>
  <c r="P3" i="36"/>
  <c r="O3" i="36"/>
  <c r="P5" i="27"/>
  <c r="M9" i="35"/>
  <c r="G20" i="35"/>
  <c r="P57" i="47" s="1"/>
  <c r="G19" i="35"/>
  <c r="M57" i="47" s="1"/>
  <c r="G18" i="35"/>
  <c r="J57" i="47" s="1"/>
  <c r="G17" i="35"/>
  <c r="G57" i="47" s="1"/>
  <c r="G16" i="35"/>
  <c r="D57" i="47" s="1"/>
  <c r="AC7" i="35"/>
  <c r="AB7" i="35"/>
  <c r="AA7" i="35"/>
  <c r="Z7" i="35"/>
  <c r="Y7" i="35"/>
  <c r="X7" i="35"/>
  <c r="W7" i="35"/>
  <c r="V7" i="35"/>
  <c r="U7" i="35"/>
  <c r="T7" i="35"/>
  <c r="S7" i="35"/>
  <c r="R7" i="35"/>
  <c r="Q7" i="35"/>
  <c r="P7" i="35"/>
  <c r="O7" i="35"/>
  <c r="AC6" i="35"/>
  <c r="AB6" i="35"/>
  <c r="AA6" i="35"/>
  <c r="Z6" i="35"/>
  <c r="Y6" i="35"/>
  <c r="X6" i="35"/>
  <c r="W6" i="35"/>
  <c r="V6" i="35"/>
  <c r="U6" i="35"/>
  <c r="T6" i="35"/>
  <c r="S6" i="35"/>
  <c r="R6" i="35"/>
  <c r="Q6" i="35"/>
  <c r="P6" i="35"/>
  <c r="O6" i="35"/>
  <c r="AC5" i="35"/>
  <c r="AB5" i="35"/>
  <c r="AA5" i="35"/>
  <c r="Z5" i="35"/>
  <c r="Y5" i="35"/>
  <c r="X5" i="35"/>
  <c r="W5" i="35"/>
  <c r="V5" i="35"/>
  <c r="U5" i="35"/>
  <c r="T5" i="35"/>
  <c r="S5" i="35"/>
  <c r="R5" i="35"/>
  <c r="Q5" i="35"/>
  <c r="P5" i="35"/>
  <c r="O5" i="35"/>
  <c r="AC4" i="35"/>
  <c r="AB4" i="35"/>
  <c r="AA4" i="35"/>
  <c r="Z4" i="35"/>
  <c r="Y4" i="35"/>
  <c r="X4" i="35"/>
  <c r="W4" i="35"/>
  <c r="V4" i="35"/>
  <c r="U4" i="35"/>
  <c r="T4" i="35"/>
  <c r="S4" i="35"/>
  <c r="R4" i="35"/>
  <c r="Q4" i="35"/>
  <c r="P4" i="35"/>
  <c r="O4" i="35"/>
  <c r="AC3" i="35"/>
  <c r="AB3" i="35"/>
  <c r="AA3" i="35"/>
  <c r="Z3" i="35"/>
  <c r="Y3" i="35"/>
  <c r="X3" i="35"/>
  <c r="W3" i="35"/>
  <c r="V3" i="35"/>
  <c r="U3" i="35"/>
  <c r="T3" i="35"/>
  <c r="S3" i="35"/>
  <c r="R3" i="35"/>
  <c r="Q3" i="35"/>
  <c r="P3" i="35"/>
  <c r="O3" i="35"/>
  <c r="G20" i="34"/>
  <c r="O61" i="47" s="1"/>
  <c r="G19" i="34"/>
  <c r="L61" i="47" s="1"/>
  <c r="G18" i="34"/>
  <c r="I61" i="47" s="1"/>
  <c r="G17" i="34"/>
  <c r="F61" i="47" s="1"/>
  <c r="G16" i="34"/>
  <c r="C61" i="47" s="1"/>
  <c r="M9" i="34"/>
  <c r="AC7" i="34"/>
  <c r="AB7" i="34"/>
  <c r="AA7" i="34"/>
  <c r="Z7" i="34"/>
  <c r="Y7" i="34"/>
  <c r="X7" i="34"/>
  <c r="W7" i="34"/>
  <c r="V7" i="34"/>
  <c r="U7" i="34"/>
  <c r="T7" i="34"/>
  <c r="S7" i="34"/>
  <c r="R7" i="34"/>
  <c r="Q7" i="34"/>
  <c r="P7" i="34"/>
  <c r="O7" i="34"/>
  <c r="AC6" i="34"/>
  <c r="AB6" i="34"/>
  <c r="AA6" i="34"/>
  <c r="Z6" i="34"/>
  <c r="Y6" i="34"/>
  <c r="X6" i="34"/>
  <c r="W6" i="34"/>
  <c r="V6" i="34"/>
  <c r="U6" i="34"/>
  <c r="T6" i="34"/>
  <c r="S6" i="34"/>
  <c r="R6" i="34"/>
  <c r="Q6" i="34"/>
  <c r="P6" i="34"/>
  <c r="O6" i="34"/>
  <c r="AC5" i="34"/>
  <c r="AB5" i="34"/>
  <c r="AA5" i="34"/>
  <c r="Z5" i="34"/>
  <c r="Y5" i="34"/>
  <c r="X5" i="34"/>
  <c r="W5" i="34"/>
  <c r="V5" i="34"/>
  <c r="U5" i="34"/>
  <c r="T5" i="34"/>
  <c r="S5" i="34"/>
  <c r="R5" i="34"/>
  <c r="Q5" i="34"/>
  <c r="P5" i="34"/>
  <c r="O5" i="34"/>
  <c r="AC4" i="34"/>
  <c r="AB4" i="34"/>
  <c r="AA4" i="34"/>
  <c r="Z4" i="34"/>
  <c r="Y4" i="34"/>
  <c r="X4" i="34"/>
  <c r="W4" i="34"/>
  <c r="V4" i="34"/>
  <c r="U4" i="34"/>
  <c r="T4" i="34"/>
  <c r="S4" i="34"/>
  <c r="R4" i="34"/>
  <c r="Q4" i="34"/>
  <c r="P4" i="34"/>
  <c r="O4" i="34"/>
  <c r="AC3" i="34"/>
  <c r="AB3" i="34"/>
  <c r="AA3" i="34"/>
  <c r="Z3" i="34"/>
  <c r="Y3" i="34"/>
  <c r="X3" i="34"/>
  <c r="W3" i="34"/>
  <c r="V3" i="34"/>
  <c r="U3" i="34"/>
  <c r="T3" i="34"/>
  <c r="S3" i="34"/>
  <c r="R3" i="34"/>
  <c r="Q3" i="34"/>
  <c r="P3" i="34"/>
  <c r="O3" i="34"/>
  <c r="G20" i="25"/>
  <c r="P25" i="47" s="1"/>
  <c r="G19" i="25"/>
  <c r="M25" i="47" s="1"/>
  <c r="G18" i="25"/>
  <c r="J25" i="47" s="1"/>
  <c r="G17" i="25"/>
  <c r="G25" i="47" s="1"/>
  <c r="G16" i="25"/>
  <c r="D25" i="47" s="1"/>
  <c r="M9" i="25"/>
  <c r="AC7" i="25"/>
  <c r="AB7" i="25"/>
  <c r="AA7" i="25"/>
  <c r="Z7" i="25"/>
  <c r="Y7" i="25"/>
  <c r="X7" i="25"/>
  <c r="W7" i="25"/>
  <c r="V7" i="25"/>
  <c r="U7" i="25"/>
  <c r="T7" i="25"/>
  <c r="S7" i="25"/>
  <c r="R7" i="25"/>
  <c r="Q7" i="25"/>
  <c r="P7" i="25"/>
  <c r="O7" i="25"/>
  <c r="AC6" i="25"/>
  <c r="AB6" i="25"/>
  <c r="AA6" i="25"/>
  <c r="Z6" i="25"/>
  <c r="Y6" i="25"/>
  <c r="X6" i="25"/>
  <c r="W6" i="25"/>
  <c r="V6" i="25"/>
  <c r="U6" i="25"/>
  <c r="T6" i="25"/>
  <c r="S6" i="25"/>
  <c r="R6" i="25"/>
  <c r="Q6" i="25"/>
  <c r="P6" i="25"/>
  <c r="O6" i="25"/>
  <c r="AC5" i="25"/>
  <c r="AB5" i="25"/>
  <c r="AA5" i="25"/>
  <c r="Z5" i="25"/>
  <c r="Y5" i="25"/>
  <c r="X5" i="25"/>
  <c r="W5" i="25"/>
  <c r="V5" i="25"/>
  <c r="U5" i="25"/>
  <c r="T5" i="25"/>
  <c r="S5" i="25"/>
  <c r="R5" i="25"/>
  <c r="Q5" i="25"/>
  <c r="P5" i="25"/>
  <c r="O5" i="25"/>
  <c r="AC4" i="25"/>
  <c r="AB4" i="25"/>
  <c r="AA4" i="25"/>
  <c r="Z4" i="25"/>
  <c r="Y4" i="25"/>
  <c r="X4" i="25"/>
  <c r="W4" i="25"/>
  <c r="V4" i="25"/>
  <c r="U4" i="25"/>
  <c r="T4" i="25"/>
  <c r="S4" i="25"/>
  <c r="R4" i="25"/>
  <c r="Q4" i="25"/>
  <c r="P4" i="25"/>
  <c r="O4" i="25"/>
  <c r="AC3" i="25"/>
  <c r="AB3" i="25"/>
  <c r="AA3" i="25"/>
  <c r="Z3" i="25"/>
  <c r="Y3" i="25"/>
  <c r="X3" i="25"/>
  <c r="W3" i="25"/>
  <c r="V3" i="25"/>
  <c r="U3" i="25"/>
  <c r="T3" i="25"/>
  <c r="S3" i="25"/>
  <c r="R3" i="25"/>
  <c r="Q3" i="25"/>
  <c r="P3" i="25"/>
  <c r="O3" i="25"/>
  <c r="G20" i="27"/>
  <c r="O29" i="47" s="1"/>
  <c r="G19" i="27"/>
  <c r="L29" i="47" s="1"/>
  <c r="G18" i="27"/>
  <c r="I29" i="47" s="1"/>
  <c r="G17" i="27"/>
  <c r="F29" i="47" s="1"/>
  <c r="G16" i="27"/>
  <c r="C29" i="47" s="1"/>
  <c r="M9" i="27"/>
  <c r="X7" i="27"/>
  <c r="W7" i="27"/>
  <c r="V7" i="27"/>
  <c r="U7" i="27"/>
  <c r="T7" i="27"/>
  <c r="S7" i="27"/>
  <c r="R7" i="27"/>
  <c r="Q7" i="27"/>
  <c r="P7" i="27"/>
  <c r="O7" i="27"/>
  <c r="X6" i="27"/>
  <c r="W6" i="27"/>
  <c r="V6" i="27"/>
  <c r="U6" i="27"/>
  <c r="T6" i="27"/>
  <c r="S6" i="27"/>
  <c r="R6" i="27"/>
  <c r="Q6" i="27"/>
  <c r="P6" i="27"/>
  <c r="O6" i="27"/>
  <c r="X5" i="27"/>
  <c r="W5" i="27"/>
  <c r="V5" i="27"/>
  <c r="U5" i="27"/>
  <c r="T5" i="27"/>
  <c r="S5" i="27"/>
  <c r="R5" i="27"/>
  <c r="Q5" i="27"/>
  <c r="O5" i="27"/>
  <c r="X4" i="27"/>
  <c r="W4" i="27"/>
  <c r="V4" i="27"/>
  <c r="U4" i="27"/>
  <c r="T4" i="27"/>
  <c r="S4" i="27"/>
  <c r="R4" i="27"/>
  <c r="Q4" i="27"/>
  <c r="P4" i="27"/>
  <c r="O4" i="27"/>
  <c r="X3" i="27"/>
  <c r="W3" i="27"/>
  <c r="V3" i="27"/>
  <c r="U3" i="27"/>
  <c r="T3" i="27"/>
  <c r="S3" i="27"/>
  <c r="R3" i="27"/>
  <c r="Q3" i="27"/>
  <c r="P3" i="27"/>
  <c r="O3" i="27"/>
  <c r="Y33" i="47" l="1"/>
  <c r="X9" i="47"/>
  <c r="Y49" i="47"/>
  <c r="X25" i="47"/>
  <c r="Y9" i="47"/>
  <c r="Y57" i="47"/>
  <c r="X57" i="47"/>
  <c r="X29" i="47"/>
  <c r="X49" i="47"/>
  <c r="Y45" i="47"/>
  <c r="X61" i="47"/>
  <c r="Y25" i="47"/>
  <c r="Y29" i="47"/>
  <c r="X41" i="47"/>
  <c r="X33" i="47"/>
  <c r="G21" i="25"/>
  <c r="G23" i="25" s="1"/>
  <c r="G21" i="27"/>
  <c r="G23" i="27" s="1"/>
  <c r="G21" i="34"/>
  <c r="G23" i="34" s="1"/>
  <c r="G21" i="35"/>
  <c r="G23" i="35" s="1"/>
  <c r="G21" i="37"/>
  <c r="G23" i="37" s="1"/>
  <c r="G21" i="42"/>
  <c r="C8" i="30" s="1"/>
  <c r="D8" i="30" s="1"/>
  <c r="G21" i="38"/>
  <c r="G23" i="38" s="1"/>
  <c r="G21" i="40"/>
  <c r="G23" i="40" s="1"/>
  <c r="G21" i="39"/>
  <c r="G23" i="39" s="1"/>
  <c r="G21" i="36"/>
  <c r="O53" i="47" s="1"/>
  <c r="X53" i="47" l="1"/>
  <c r="Y53" i="47"/>
  <c r="G23" i="36"/>
  <c r="C6" i="30"/>
  <c r="D6" i="30" s="1"/>
  <c r="C7" i="30"/>
  <c r="D7" i="30" s="1"/>
  <c r="C15" i="30"/>
  <c r="D15" i="30" s="1"/>
  <c r="C14" i="30"/>
  <c r="D14" i="30" s="1"/>
  <c r="C11" i="30"/>
  <c r="D11" i="30" s="1"/>
  <c r="G23" i="42"/>
  <c r="C12" i="30"/>
  <c r="D12" i="30" s="1"/>
  <c r="C2" i="30"/>
  <c r="D2" i="30" s="1"/>
  <c r="C10" i="30"/>
  <c r="D10" i="30" s="1"/>
  <c r="C13" i="30"/>
  <c r="D13" i="30" s="1"/>
  <c r="G20" i="26" l="1"/>
  <c r="P13" i="47" s="1"/>
  <c r="G19" i="26"/>
  <c r="M13" i="47" s="1"/>
  <c r="G18" i="26"/>
  <c r="J13" i="47" s="1"/>
  <c r="G17" i="26"/>
  <c r="G13" i="47" s="1"/>
  <c r="G16" i="26"/>
  <c r="D13" i="47" s="1"/>
  <c r="M9" i="26"/>
  <c r="AB7" i="26"/>
  <c r="AA7" i="26"/>
  <c r="Z7" i="26"/>
  <c r="Y7" i="26"/>
  <c r="X7" i="26"/>
  <c r="W7" i="26"/>
  <c r="V7" i="26"/>
  <c r="U7" i="26"/>
  <c r="T7" i="26"/>
  <c r="S7" i="26"/>
  <c r="R7" i="26"/>
  <c r="Q7" i="26"/>
  <c r="P7" i="26"/>
  <c r="O7" i="26"/>
  <c r="AB6" i="26"/>
  <c r="AA6" i="26"/>
  <c r="Z6" i="26"/>
  <c r="Y6" i="26"/>
  <c r="X6" i="26"/>
  <c r="W6" i="26"/>
  <c r="V6" i="26"/>
  <c r="U6" i="26"/>
  <c r="T6" i="26"/>
  <c r="S6" i="26"/>
  <c r="R6" i="26"/>
  <c r="Q6" i="26"/>
  <c r="P6" i="26"/>
  <c r="O6" i="26"/>
  <c r="AB5" i="26"/>
  <c r="AA5" i="26"/>
  <c r="Z5" i="26"/>
  <c r="Y5" i="26"/>
  <c r="X5" i="26"/>
  <c r="W5" i="26"/>
  <c r="V5" i="26"/>
  <c r="U5" i="26"/>
  <c r="T5" i="26"/>
  <c r="S5" i="26"/>
  <c r="R5" i="26"/>
  <c r="Q5" i="26"/>
  <c r="P5" i="26"/>
  <c r="O5" i="26"/>
  <c r="AB4" i="26"/>
  <c r="AA4" i="26"/>
  <c r="Z4" i="26"/>
  <c r="Y4" i="26"/>
  <c r="X4" i="26"/>
  <c r="W4" i="26"/>
  <c r="V4" i="26"/>
  <c r="U4" i="26"/>
  <c r="T4" i="26"/>
  <c r="S4" i="26"/>
  <c r="R4" i="26"/>
  <c r="Q4" i="26"/>
  <c r="P4" i="26"/>
  <c r="O4" i="26"/>
  <c r="AB3" i="26"/>
  <c r="AA3" i="26"/>
  <c r="Z3" i="26"/>
  <c r="Y3" i="26"/>
  <c r="X3" i="26"/>
  <c r="W3" i="26"/>
  <c r="V3" i="26"/>
  <c r="U3" i="26"/>
  <c r="T3" i="26"/>
  <c r="S3" i="26"/>
  <c r="R3" i="26"/>
  <c r="Q3" i="26"/>
  <c r="P3" i="26"/>
  <c r="O3" i="26"/>
  <c r="X13" i="47" l="1"/>
  <c r="Y13" i="47"/>
  <c r="G21" i="26"/>
  <c r="G23" i="26" s="1"/>
  <c r="C3" i="30" l="1"/>
  <c r="D3" i="30" s="1"/>
  <c r="G17" i="21"/>
  <c r="F21" i="47" s="1"/>
  <c r="G18" i="21"/>
  <c r="I21" i="47" s="1"/>
  <c r="G19" i="21"/>
  <c r="L21" i="47" s="1"/>
  <c r="G20" i="21"/>
  <c r="O21" i="47" s="1"/>
  <c r="G16" i="21"/>
  <c r="C21" i="47" s="1"/>
  <c r="G17" i="29"/>
  <c r="F17" i="47" s="1"/>
  <c r="G18" i="29"/>
  <c r="I17" i="47" s="1"/>
  <c r="AC4" i="29"/>
  <c r="AC5" i="29"/>
  <c r="AC6" i="29"/>
  <c r="AC7" i="29"/>
  <c r="AC3" i="29"/>
  <c r="AB4" i="29"/>
  <c r="AB5" i="29"/>
  <c r="AB6" i="29"/>
  <c r="AB7" i="29"/>
  <c r="AB3" i="29"/>
  <c r="AA4" i="29"/>
  <c r="AA5" i="29"/>
  <c r="AA6" i="29"/>
  <c r="AA7" i="29"/>
  <c r="AA3" i="29"/>
  <c r="Z4" i="29"/>
  <c r="Z5" i="29"/>
  <c r="Z6" i="29"/>
  <c r="Z7" i="29"/>
  <c r="Z3" i="29"/>
  <c r="Y4" i="29"/>
  <c r="Y5" i="29"/>
  <c r="Y6" i="29"/>
  <c r="Y7" i="29"/>
  <c r="Y3" i="29"/>
  <c r="X4" i="29"/>
  <c r="X5" i="29"/>
  <c r="X6" i="29"/>
  <c r="X7" i="29"/>
  <c r="X3" i="29"/>
  <c r="W4" i="29"/>
  <c r="W5" i="29"/>
  <c r="W6" i="29"/>
  <c r="W7" i="29"/>
  <c r="W3" i="29"/>
  <c r="AC4" i="21"/>
  <c r="AC5" i="21"/>
  <c r="AC6" i="21"/>
  <c r="AC7" i="21"/>
  <c r="AC3" i="21"/>
  <c r="AB4" i="21"/>
  <c r="AB5" i="21"/>
  <c r="AB6" i="21"/>
  <c r="AB7" i="21"/>
  <c r="AB3" i="21"/>
  <c r="AA4" i="21"/>
  <c r="AA5" i="21"/>
  <c r="AA6" i="21"/>
  <c r="AA7" i="21"/>
  <c r="AA3" i="21"/>
  <c r="Z4" i="21"/>
  <c r="Z5" i="21"/>
  <c r="Z6" i="21"/>
  <c r="Z7" i="21"/>
  <c r="Z3" i="21"/>
  <c r="Y4" i="21"/>
  <c r="Y5" i="21"/>
  <c r="Y6" i="21"/>
  <c r="Y7" i="21"/>
  <c r="Y3" i="21"/>
  <c r="X4" i="21"/>
  <c r="X5" i="21"/>
  <c r="X6" i="21"/>
  <c r="X7" i="21"/>
  <c r="X3" i="21"/>
  <c r="W4" i="21"/>
  <c r="W5" i="21"/>
  <c r="W6" i="21"/>
  <c r="W7" i="21"/>
  <c r="W3" i="21"/>
  <c r="M9" i="29"/>
  <c r="V7" i="29"/>
  <c r="U7" i="29"/>
  <c r="T7" i="29"/>
  <c r="S7" i="29"/>
  <c r="R7" i="29"/>
  <c r="Q7" i="29"/>
  <c r="P7" i="29"/>
  <c r="O7" i="29"/>
  <c r="V6" i="29"/>
  <c r="U6" i="29"/>
  <c r="S6" i="29"/>
  <c r="R6" i="29"/>
  <c r="Q6" i="29"/>
  <c r="P6" i="29"/>
  <c r="O6" i="29"/>
  <c r="V5" i="29"/>
  <c r="U5" i="29"/>
  <c r="T5" i="29"/>
  <c r="S5" i="29"/>
  <c r="R5" i="29"/>
  <c r="Q5" i="29"/>
  <c r="P5" i="29"/>
  <c r="O5" i="29"/>
  <c r="V4" i="29"/>
  <c r="U4" i="29"/>
  <c r="T4" i="29"/>
  <c r="S4" i="29"/>
  <c r="R4" i="29"/>
  <c r="Q4" i="29"/>
  <c r="P4" i="29"/>
  <c r="O4" i="29"/>
  <c r="V3" i="29"/>
  <c r="U3" i="29"/>
  <c r="T3" i="29"/>
  <c r="R3" i="29"/>
  <c r="Q3" i="29"/>
  <c r="P3" i="29"/>
  <c r="O3" i="29"/>
  <c r="T4" i="21"/>
  <c r="T5" i="21"/>
  <c r="T6" i="21"/>
  <c r="T7" i="21"/>
  <c r="T3" i="21"/>
  <c r="V4" i="21"/>
  <c r="V5" i="21"/>
  <c r="V6" i="21"/>
  <c r="V7" i="21"/>
  <c r="U4" i="21"/>
  <c r="U5" i="21"/>
  <c r="U6" i="21"/>
  <c r="U7" i="21"/>
  <c r="S4" i="21"/>
  <c r="S5" i="21"/>
  <c r="S6" i="21"/>
  <c r="S7" i="21"/>
  <c r="R4" i="21"/>
  <c r="R5" i="21"/>
  <c r="R6" i="21"/>
  <c r="R7" i="21"/>
  <c r="Q4" i="21"/>
  <c r="Q5" i="21"/>
  <c r="Q6" i="21"/>
  <c r="Q7" i="21"/>
  <c r="V3" i="21"/>
  <c r="U3" i="21"/>
  <c r="S3" i="21"/>
  <c r="R3" i="21"/>
  <c r="Q3" i="21"/>
  <c r="M9" i="21"/>
  <c r="P7" i="21"/>
  <c r="O7" i="21"/>
  <c r="P6" i="21"/>
  <c r="O6" i="21"/>
  <c r="P5" i="21"/>
  <c r="O5" i="21"/>
  <c r="P4" i="21"/>
  <c r="O4" i="21"/>
  <c r="P3" i="21"/>
  <c r="O3" i="21"/>
  <c r="X17" i="47" l="1"/>
  <c r="X21" i="47"/>
  <c r="Y17" i="47"/>
  <c r="G21" i="29"/>
  <c r="G21" i="21"/>
  <c r="G23" i="29" l="1"/>
  <c r="C4" i="30"/>
  <c r="G23" i="21"/>
  <c r="C5" i="30"/>
  <c r="D4" i="30" l="1"/>
  <c r="C16" i="30"/>
  <c r="D5" i="30"/>
  <c r="D17" i="30" l="1"/>
</calcChain>
</file>

<file path=xl/sharedStrings.xml><?xml version="1.0" encoding="utf-8"?>
<sst xmlns="http://schemas.openxmlformats.org/spreadsheetml/2006/main" count="1112" uniqueCount="131">
  <si>
    <t>META</t>
  </si>
  <si>
    <t>LLEGADA INSTALACION</t>
  </si>
  <si>
    <t>INDICADORES</t>
  </si>
  <si>
    <t>Lunes</t>
  </si>
  <si>
    <t xml:space="preserve"> Martes</t>
  </si>
  <si>
    <t>Miércoles</t>
  </si>
  <si>
    <t xml:space="preserve">Jueves </t>
  </si>
  <si>
    <t xml:space="preserve">Viernes </t>
  </si>
  <si>
    <t>Promedio semana</t>
  </si>
  <si>
    <t>FECHA</t>
  </si>
  <si>
    <t>Llegada a instalación</t>
  </si>
  <si>
    <t>Columna2</t>
  </si>
  <si>
    <t>Columna3</t>
  </si>
  <si>
    <t>Columna1</t>
  </si>
  <si>
    <t>Columna22</t>
  </si>
  <si>
    <t>L</t>
  </si>
  <si>
    <t>M</t>
  </si>
  <si>
    <t>J</t>
  </si>
  <si>
    <t>V</t>
  </si>
  <si>
    <t>Almuerzo</t>
  </si>
  <si>
    <t>SALIDA INSTALACION</t>
  </si>
  <si>
    <t>ALMUERZO</t>
  </si>
  <si>
    <t>Tiempo disponible PM</t>
  </si>
  <si>
    <t>Tiempo disponible AM</t>
  </si>
  <si>
    <t>Tiempo efectivo trabajo</t>
  </si>
  <si>
    <t>Lu</t>
  </si>
  <si>
    <t>MA</t>
  </si>
  <si>
    <t>MI</t>
  </si>
  <si>
    <t>JU</t>
  </si>
  <si>
    <t>Dias</t>
  </si>
  <si>
    <t>1. Llegada a instalación</t>
  </si>
  <si>
    <t>2. Salida de instalación</t>
  </si>
  <si>
    <t>3. Inicio de actividades AM</t>
  </si>
  <si>
    <t>4. Término de actividades AM</t>
  </si>
  <si>
    <t xml:space="preserve">Traslado a postura </t>
  </si>
  <si>
    <t xml:space="preserve">Tiempo en instalación </t>
  </si>
  <si>
    <t>Comentarios</t>
  </si>
  <si>
    <t>LU</t>
  </si>
  <si>
    <t>VI</t>
  </si>
  <si>
    <t>Dia</t>
  </si>
  <si>
    <t>PROM. (Lu-Ju)</t>
  </si>
  <si>
    <t>Cumplimiento</t>
  </si>
  <si>
    <t>INICIO ACT.     AM</t>
  </si>
  <si>
    <t>TERMINO ACT. AM</t>
  </si>
  <si>
    <t>INICIO ACTIVIDADES PM</t>
  </si>
  <si>
    <t>TERMINO ACTIVIDADES PM</t>
  </si>
  <si>
    <t>5. Almuerzo</t>
  </si>
  <si>
    <t>6. Inicio Actividades PM</t>
  </si>
  <si>
    <t>7. término Actividades PM</t>
  </si>
  <si>
    <t>Tte 6</t>
  </si>
  <si>
    <t xml:space="preserve">VI </t>
  </si>
  <si>
    <t>Promedio</t>
  </si>
  <si>
    <t>Meta</t>
  </si>
  <si>
    <t>Traslado Colación</t>
  </si>
  <si>
    <t>TTE 6 ACARREO</t>
  </si>
  <si>
    <t>MISCELANEO SUB 5</t>
  </si>
  <si>
    <t>MISCELANEO SUB 6</t>
  </si>
  <si>
    <t>PIPA NORTE</t>
  </si>
  <si>
    <t>DIABLO REGIMIENTO</t>
  </si>
  <si>
    <t>AGUA ACIDA</t>
  </si>
  <si>
    <t>VENTILACIÓN LOCAL</t>
  </si>
  <si>
    <t>PUERTAS MINA</t>
  </si>
  <si>
    <t>AIRE ACONDICIONADO</t>
  </si>
  <si>
    <t xml:space="preserve">COLECTORES DE POLVO </t>
  </si>
  <si>
    <t>TALLER LA JUNTA</t>
  </si>
  <si>
    <t>MISCELANEO TTE 7</t>
  </si>
  <si>
    <t>CHANCADO COLON</t>
  </si>
  <si>
    <t>TABLERO DISCIPLINA TURNO A MINA</t>
  </si>
  <si>
    <t>Llegada instalación</t>
  </si>
  <si>
    <t>Salida instalación</t>
  </si>
  <si>
    <t>Llegada a postura</t>
  </si>
  <si>
    <t>Abandono postura</t>
  </si>
  <si>
    <t>Termino Turno</t>
  </si>
  <si>
    <t>TABLERO DISCIPLINA TURNO A SUPERFICIE</t>
  </si>
  <si>
    <t>TABLERO DISCIPLINA TURNO B MINA</t>
  </si>
  <si>
    <t>Meta Aguas acidas</t>
  </si>
  <si>
    <t>Meta taller la junta</t>
  </si>
  <si>
    <t>SUB 5</t>
  </si>
  <si>
    <t xml:space="preserve">TTE 6 </t>
  </si>
  <si>
    <t>SUB 6</t>
  </si>
  <si>
    <t>DIABLO</t>
  </si>
  <si>
    <t>ACCU</t>
  </si>
  <si>
    <t>VENTILACIÓN</t>
  </si>
  <si>
    <t>PUERTA</t>
  </si>
  <si>
    <t xml:space="preserve">AIRE </t>
  </si>
  <si>
    <t>COLECTORES</t>
  </si>
  <si>
    <t>LA JUNTA</t>
  </si>
  <si>
    <t>TTE 7</t>
  </si>
  <si>
    <t>CH COLON</t>
  </si>
  <si>
    <t>PIPA N</t>
  </si>
  <si>
    <t>Turno sin novedad.</t>
  </si>
  <si>
    <t>Fin del turno sin novedad</t>
  </si>
  <si>
    <t>SALVATAJE</t>
  </si>
  <si>
    <t>Limpieza de bomba vogt</t>
  </si>
  <si>
    <t>SIN NOVEDAD</t>
  </si>
  <si>
    <t>Tte sub 5</t>
  </si>
  <si>
    <t>Tte sub 6</t>
  </si>
  <si>
    <t>D.R</t>
  </si>
  <si>
    <t>Tte 7</t>
  </si>
  <si>
    <t xml:space="preserve">CH Colon </t>
  </si>
  <si>
    <t>La junta</t>
  </si>
  <si>
    <t>,</t>
  </si>
  <si>
    <t>Días</t>
  </si>
  <si>
    <t>A</t>
  </si>
  <si>
    <t>B</t>
  </si>
  <si>
    <t>TURNO</t>
  </si>
  <si>
    <t>DISCIPLINA OPERACIONAL   MIES</t>
  </si>
  <si>
    <t>PROMEDIO</t>
  </si>
  <si>
    <t>C</t>
  </si>
  <si>
    <t>(SMN)  TTE 7</t>
  </si>
  <si>
    <t>Horas</t>
  </si>
  <si>
    <t>Tpo. Ini turno</t>
  </si>
  <si>
    <t>Tpo. Fin turno</t>
  </si>
  <si>
    <t>Promedio Dia</t>
  </si>
  <si>
    <t>(SMN)  TTE SUB 6</t>
  </si>
  <si>
    <t>(SMC)  TTE SUB 5 ESM.</t>
  </si>
  <si>
    <t>(SMC)  TTE 6 ACARREO ESM.</t>
  </si>
  <si>
    <t>(SMS)  DIABLO RGIMIENTO</t>
  </si>
  <si>
    <t>(SMS)  PACIFICO SUPERIOR</t>
  </si>
  <si>
    <t>(STC)  CHANC. PRIM.</t>
  </si>
  <si>
    <t>COLECTORES DE POLVO</t>
  </si>
  <si>
    <t>ACM  (TURNO 1)</t>
  </si>
  <si>
    <t>TOTAL</t>
  </si>
  <si>
    <t>Cumpli. Global Limpieza Brocales</t>
  </si>
  <si>
    <t># de brocales</t>
  </si>
  <si>
    <t># Brocales Semana</t>
  </si>
  <si>
    <t>Cumpli. Global Limpieza Brocales Sub 6</t>
  </si>
  <si>
    <t>Cumpli. Global Limpieza Brocales Sub 5</t>
  </si>
  <si>
    <t>Programación semanal</t>
  </si>
  <si>
    <t>%</t>
  </si>
  <si>
    <t>Rerparacion puente grua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</si>
</sst>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:mm:ss;@"/>
  </numFmts>
  <fonts count="2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12"/>
      <name val="Arial"/>
      <family val="2"/>
    </font>
    <font>
      <sz val="9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Arial"/>
      <family val="2"/>
    </font>
    <font>
      <b/>
      <sz val="12"/>
      <color rgb="FF000000"/>
      <name val="Arial"/>
      <family val="2"/>
    </font>
    <font>
      <sz val="10.8"/>
      <color rgb="FF000000"/>
      <name val="Arial"/>
      <family val="2"/>
    </font>
    <font>
      <sz val="2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Calibri"/>
      <family val="2"/>
    </font>
    <font>
      <b/>
      <sz val="9"/>
      <name val="Calibri"/>
      <family val="2"/>
    </font>
    <font>
      <sz val="9"/>
      <name val="Calibri"/>
      <family val="2"/>
    </font>
    <font>
      <b/>
      <sz val="12"/>
      <color theme="1"/>
      <name val="Calibri"/>
      <family val="2"/>
    </font>
    <font>
      <sz val="10.5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A53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3" tint="0.59999389629810485"/>
        <bgColor indexed="64"/>
      </patternFill>
    </fill>
  </fills>
  <borders count="7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 style="medium">
        <color rgb="FFF89606"/>
      </bottom>
      <diagonal/>
    </border>
    <border>
      <left style="medium">
        <color indexed="64"/>
      </left>
      <right style="medium">
        <color indexed="64"/>
      </right>
      <top style="medium">
        <color rgb="FFF89606"/>
      </top>
      <bottom style="medium">
        <color rgb="FFF89606"/>
      </bottom>
      <diagonal/>
    </border>
    <border>
      <left style="medium">
        <color indexed="64"/>
      </left>
      <right style="medium">
        <color indexed="64"/>
      </right>
      <top style="medium">
        <color rgb="FFF89606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hair">
        <color indexed="64"/>
      </bottom>
      <diagonal/>
    </border>
    <border>
      <left style="thick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ck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thick">
        <color indexed="64"/>
      </right>
      <top style="medium">
        <color indexed="64"/>
      </top>
      <bottom style="hair">
        <color indexed="64"/>
      </bottom>
      <diagonal/>
    </border>
    <border>
      <left/>
      <right style="thick">
        <color indexed="64"/>
      </right>
      <top style="hair">
        <color indexed="64"/>
      </top>
      <bottom style="hair">
        <color indexed="64"/>
      </bottom>
      <diagonal/>
    </border>
    <border>
      <left/>
      <right style="thick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">
    <xf numFmtId="0" fontId="0" fillId="0" borderId="0"/>
    <xf numFmtId="9" fontId="12" fillId="0" borderId="0" applyFont="0" applyFill="0" applyBorder="0" applyAlignment="0" applyProtection="0"/>
    <xf numFmtId="0" fontId="1" fillId="0" borderId="0"/>
    <xf numFmtId="0" fontId="12" fillId="0" borderId="0"/>
  </cellStyleXfs>
  <cellXfs count="220">
    <xf numFmtId="0" fontId="0" fillId="0" borderId="0" xfId="0"/>
    <xf numFmtId="0" fontId="0" fillId="0" borderId="0" xfId="0" applyBorder="1"/>
    <xf numFmtId="0" fontId="0" fillId="0" borderId="0" xfId="0" applyFont="1"/>
    <xf numFmtId="20" fontId="0" fillId="0" borderId="0" xfId="0" applyNumberFormat="1"/>
    <xf numFmtId="14" fontId="0" fillId="0" borderId="1" xfId="0" applyNumberForma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2" fillId="2" borderId="4" xfId="0" applyFont="1" applyFill="1" applyBorder="1" applyAlignment="1">
      <alignment vertical="center" wrapText="1"/>
    </xf>
    <xf numFmtId="20" fontId="0" fillId="0" borderId="0" xfId="0" applyNumberFormat="1" applyBorder="1"/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20" fontId="0" fillId="0" borderId="4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2" fillId="2" borderId="7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0" fontId="6" fillId="2" borderId="5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vertical="center" wrapText="1"/>
    </xf>
    <xf numFmtId="0" fontId="6" fillId="2" borderId="2" xfId="0" applyFont="1" applyFill="1" applyBorder="1" applyAlignment="1">
      <alignment vertical="center" wrapText="1"/>
    </xf>
    <xf numFmtId="0" fontId="0" fillId="0" borderId="1" xfId="0" applyNumberFormat="1" applyFill="1" applyBorder="1" applyAlignment="1">
      <alignment horizontal="center"/>
    </xf>
    <xf numFmtId="0" fontId="0" fillId="0" borderId="2" xfId="0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2" borderId="0" xfId="0" applyFont="1" applyFill="1" applyBorder="1" applyAlignment="1">
      <alignment vertical="center" wrapText="1"/>
    </xf>
    <xf numFmtId="0" fontId="0" fillId="5" borderId="0" xfId="0" applyFill="1"/>
    <xf numFmtId="20" fontId="0" fillId="5" borderId="3" xfId="0" applyNumberFormat="1" applyFill="1" applyBorder="1" applyAlignment="1">
      <alignment horizontal="center"/>
    </xf>
    <xf numFmtId="20" fontId="0" fillId="5" borderId="3" xfId="0" applyNumberFormat="1" applyFill="1" applyBorder="1" applyAlignment="1">
      <alignment horizontal="left"/>
    </xf>
    <xf numFmtId="20" fontId="0" fillId="5" borderId="3" xfId="0" applyNumberFormat="1" applyFont="1" applyFill="1" applyBorder="1" applyAlignment="1">
      <alignment horizontal="center"/>
    </xf>
    <xf numFmtId="20" fontId="0" fillId="3" borderId="3" xfId="0" applyNumberFormat="1" applyFill="1" applyBorder="1" applyAlignment="1">
      <alignment horizontal="center"/>
    </xf>
    <xf numFmtId="0" fontId="2" fillId="2" borderId="9" xfId="0" applyFont="1" applyFill="1" applyBorder="1" applyAlignment="1">
      <alignment vertical="center"/>
    </xf>
    <xf numFmtId="0" fontId="0" fillId="5" borderId="0" xfId="0" applyFill="1" applyBorder="1"/>
    <xf numFmtId="20" fontId="9" fillId="0" borderId="0" xfId="0" applyNumberFormat="1" applyFont="1" applyBorder="1"/>
    <xf numFmtId="20" fontId="8" fillId="6" borderId="3" xfId="0" applyNumberFormat="1" applyFont="1" applyFill="1" applyBorder="1" applyAlignment="1">
      <alignment horizontal="center"/>
    </xf>
    <xf numFmtId="0" fontId="8" fillId="0" borderId="0" xfId="0" applyFont="1"/>
    <xf numFmtId="20" fontId="8" fillId="0" borderId="0" xfId="0" applyNumberFormat="1" applyFont="1"/>
    <xf numFmtId="20" fontId="0" fillId="0" borderId="8" xfId="0" applyNumberFormat="1" applyBorder="1" applyAlignment="1">
      <alignment horizontal="center"/>
    </xf>
    <xf numFmtId="20" fontId="0" fillId="0" borderId="1" xfId="0" applyNumberFormat="1" applyBorder="1" applyAlignment="1">
      <alignment horizontal="center"/>
    </xf>
    <xf numFmtId="0" fontId="7" fillId="2" borderId="1" xfId="0" applyFont="1" applyFill="1" applyBorder="1" applyAlignment="1">
      <alignment horizontal="center" vertical="center" wrapText="1"/>
    </xf>
    <xf numFmtId="20" fontId="0" fillId="0" borderId="1" xfId="0" applyNumberFormat="1" applyBorder="1" applyAlignment="1">
      <alignment horizontal="center"/>
    </xf>
    <xf numFmtId="20" fontId="9" fillId="0" borderId="1" xfId="0" applyNumberFormat="1" applyFont="1" applyBorder="1" applyAlignment="1">
      <alignment horizontal="center"/>
    </xf>
    <xf numFmtId="20" fontId="11" fillId="0" borderId="1" xfId="0" applyNumberFormat="1" applyFont="1" applyBorder="1" applyAlignment="1">
      <alignment horizontal="center" wrapText="1"/>
    </xf>
    <xf numFmtId="20" fontId="10" fillId="5" borderId="1" xfId="0" applyNumberFormat="1" applyFont="1" applyFill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0" fillId="0" borderId="10" xfId="0" applyFill="1" applyBorder="1" applyAlignment="1">
      <alignment horizontal="center"/>
    </xf>
    <xf numFmtId="14" fontId="0" fillId="5" borderId="4" xfId="0" applyNumberFormat="1" applyFill="1" applyBorder="1" applyAlignment="1">
      <alignment horizontal="center"/>
    </xf>
    <xf numFmtId="20" fontId="0" fillId="5" borderId="4" xfId="0" applyNumberFormat="1" applyFill="1" applyBorder="1" applyAlignment="1">
      <alignment horizontal="center"/>
    </xf>
    <xf numFmtId="9" fontId="8" fillId="6" borderId="3" xfId="1" applyFont="1" applyFill="1" applyBorder="1" applyAlignment="1">
      <alignment horizontal="center"/>
    </xf>
    <xf numFmtId="20" fontId="0" fillId="0" borderId="1" xfId="0" applyNumberFormat="1" applyBorder="1" applyAlignment="1">
      <alignment horizontal="center"/>
    </xf>
    <xf numFmtId="20" fontId="0" fillId="0" borderId="1" xfId="0" applyNumberFormat="1" applyFont="1" applyBorder="1" applyAlignment="1">
      <alignment horizontal="center"/>
    </xf>
    <xf numFmtId="20" fontId="11" fillId="0" borderId="1" xfId="0" applyNumberFormat="1" applyFont="1" applyBorder="1" applyAlignment="1">
      <alignment horizontal="left" wrapText="1"/>
    </xf>
    <xf numFmtId="20" fontId="11" fillId="0" borderId="8" xfId="0" applyNumberFormat="1" applyFont="1" applyBorder="1" applyAlignment="1">
      <alignment horizontal="left"/>
    </xf>
    <xf numFmtId="20" fontId="11" fillId="0" borderId="6" xfId="0" applyNumberFormat="1" applyFont="1" applyBorder="1" applyAlignment="1">
      <alignment horizontal="center"/>
    </xf>
    <xf numFmtId="20" fontId="0" fillId="0" borderId="1" xfId="0" applyNumberFormat="1" applyBorder="1" applyAlignment="1">
      <alignment horizontal="center"/>
    </xf>
    <xf numFmtId="20" fontId="0" fillId="0" borderId="8" xfId="0" applyNumberFormat="1" applyBorder="1" applyAlignment="1">
      <alignment horizontal="center"/>
    </xf>
    <xf numFmtId="20" fontId="11" fillId="0" borderId="6" xfId="0" applyNumberFormat="1" applyFont="1" applyBorder="1" applyAlignment="1">
      <alignment horizontal="center"/>
    </xf>
    <xf numFmtId="20" fontId="11" fillId="0" borderId="8" xfId="0" applyNumberFormat="1" applyFont="1" applyBorder="1" applyAlignment="1">
      <alignment horizontal="left"/>
    </xf>
    <xf numFmtId="20" fontId="8" fillId="5" borderId="3" xfId="0" applyNumberFormat="1" applyFont="1" applyFill="1" applyBorder="1" applyAlignment="1">
      <alignment horizontal="center"/>
    </xf>
    <xf numFmtId="9" fontId="0" fillId="0" borderId="0" xfId="0" applyNumberFormat="1"/>
    <xf numFmtId="20" fontId="0" fillId="0" borderId="1" xfId="0" applyNumberFormat="1" applyBorder="1" applyAlignment="1">
      <alignment horizontal="center"/>
    </xf>
    <xf numFmtId="20" fontId="11" fillId="0" borderId="6" xfId="0" applyNumberFormat="1" applyFont="1" applyBorder="1" applyAlignment="1">
      <alignment horizontal="center"/>
    </xf>
    <xf numFmtId="20" fontId="0" fillId="0" borderId="8" xfId="0" applyNumberFormat="1" applyBorder="1" applyAlignment="1">
      <alignment horizontal="center"/>
    </xf>
    <xf numFmtId="0" fontId="3" fillId="4" borderId="14" xfId="0" applyFont="1" applyFill="1" applyBorder="1" applyAlignment="1">
      <alignment horizontal="center" vertical="center" wrapText="1" readingOrder="1"/>
    </xf>
    <xf numFmtId="0" fontId="4" fillId="0" borderId="15" xfId="0" applyFont="1" applyBorder="1" applyAlignment="1">
      <alignment horizontal="left" wrapText="1" readingOrder="1"/>
    </xf>
    <xf numFmtId="20" fontId="3" fillId="0" borderId="15" xfId="0" applyNumberFormat="1" applyFont="1" applyBorder="1" applyAlignment="1">
      <alignment horizontal="center" wrapText="1" readingOrder="1"/>
    </xf>
    <xf numFmtId="20" fontId="5" fillId="0" borderId="15" xfId="0" applyNumberFormat="1" applyFont="1" applyBorder="1" applyAlignment="1">
      <alignment horizontal="center" vertical="center" wrapText="1"/>
    </xf>
    <xf numFmtId="0" fontId="4" fillId="0" borderId="16" xfId="0" applyFont="1" applyBorder="1" applyAlignment="1">
      <alignment horizontal="left" wrapText="1" readingOrder="1"/>
    </xf>
    <xf numFmtId="20" fontId="3" fillId="0" borderId="16" xfId="0" applyNumberFormat="1" applyFont="1" applyBorder="1" applyAlignment="1">
      <alignment horizontal="center" wrapText="1" readingOrder="1"/>
    </xf>
    <xf numFmtId="20" fontId="5" fillId="0" borderId="16" xfId="0" applyNumberFormat="1" applyFont="1" applyBorder="1" applyAlignment="1">
      <alignment horizontal="center" vertical="center" wrapText="1"/>
    </xf>
    <xf numFmtId="0" fontId="4" fillId="0" borderId="17" xfId="0" applyFont="1" applyBorder="1" applyAlignment="1">
      <alignment horizontal="left" wrapText="1" readingOrder="1"/>
    </xf>
    <xf numFmtId="20" fontId="3" fillId="0" borderId="17" xfId="0" applyNumberFormat="1" applyFont="1" applyBorder="1" applyAlignment="1">
      <alignment horizontal="center" wrapText="1" readingOrder="1"/>
    </xf>
    <xf numFmtId="20" fontId="5" fillId="0" borderId="17" xfId="0" applyNumberFormat="1" applyFont="1" applyBorder="1" applyAlignment="1">
      <alignment horizontal="center" vertical="center" wrapText="1"/>
    </xf>
    <xf numFmtId="9" fontId="0" fillId="3" borderId="0" xfId="1" applyFont="1" applyFill="1"/>
    <xf numFmtId="0" fontId="0" fillId="0" borderId="19" xfId="0" applyBorder="1"/>
    <xf numFmtId="20" fontId="0" fillId="0" borderId="21" xfId="0" applyNumberFormat="1" applyBorder="1"/>
    <xf numFmtId="0" fontId="0" fillId="0" borderId="18" xfId="0" applyBorder="1"/>
    <xf numFmtId="20" fontId="0" fillId="0" borderId="22" xfId="0" applyNumberFormat="1" applyBorder="1"/>
    <xf numFmtId="0" fontId="0" fillId="0" borderId="18" xfId="0" applyFill="1" applyBorder="1"/>
    <xf numFmtId="0" fontId="0" fillId="0" borderId="20" xfId="0" applyBorder="1"/>
    <xf numFmtId="20" fontId="0" fillId="0" borderId="23" xfId="0" applyNumberFormat="1" applyBorder="1"/>
    <xf numFmtId="19" fontId="14" fillId="0" borderId="0" xfId="0" applyNumberFormat="1" applyFont="1" applyAlignment="1"/>
    <xf numFmtId="0" fontId="0" fillId="0" borderId="0" xfId="0" applyFont="1" applyAlignment="1"/>
    <xf numFmtId="22" fontId="0" fillId="0" borderId="0" xfId="0" applyNumberFormat="1"/>
    <xf numFmtId="0" fontId="0" fillId="0" borderId="0" xfId="0" applyAlignment="1">
      <alignment wrapText="1"/>
    </xf>
    <xf numFmtId="20" fontId="11" fillId="0" borderId="1" xfId="0" applyNumberFormat="1" applyFont="1" applyBorder="1" applyAlignment="1">
      <alignment horizontal="left"/>
    </xf>
    <xf numFmtId="0" fontId="15" fillId="0" borderId="0" xfId="0" applyFont="1" applyAlignment="1">
      <alignment horizontal="left" vertical="center" indent="4" readingOrder="1"/>
    </xf>
    <xf numFmtId="0" fontId="16" fillId="0" borderId="0" xfId="0" applyFont="1" applyAlignment="1">
      <alignment horizontal="left" vertical="center" indent="4" readingOrder="1"/>
    </xf>
    <xf numFmtId="0" fontId="0" fillId="0" borderId="0" xfId="0" applyAlignment="1">
      <alignment horizontal="center"/>
    </xf>
    <xf numFmtId="0" fontId="18" fillId="0" borderId="0" xfId="0" applyFont="1" applyAlignment="1">
      <alignment vertical="center"/>
    </xf>
    <xf numFmtId="0" fontId="0" fillId="0" borderId="0" xfId="0" applyAlignment="1">
      <alignment vertical="center"/>
    </xf>
    <xf numFmtId="0" fontId="19" fillId="0" borderId="24" xfId="0" applyFont="1" applyBorder="1" applyAlignment="1">
      <alignment horizontal="left" vertical="center"/>
    </xf>
    <xf numFmtId="0" fontId="19" fillId="0" borderId="32" xfId="0" applyFont="1" applyBorder="1" applyAlignment="1">
      <alignment horizontal="left" vertical="center"/>
    </xf>
    <xf numFmtId="0" fontId="18" fillId="0" borderId="25" xfId="0" applyFont="1" applyBorder="1" applyAlignment="1">
      <alignment horizontal="center" vertical="center"/>
    </xf>
    <xf numFmtId="0" fontId="18" fillId="0" borderId="26" xfId="0" applyFont="1" applyBorder="1" applyAlignment="1">
      <alignment horizontal="center" vertical="center"/>
    </xf>
    <xf numFmtId="0" fontId="18" fillId="0" borderId="27" xfId="0" applyFont="1" applyBorder="1" applyAlignment="1">
      <alignment horizontal="center" vertical="center"/>
    </xf>
    <xf numFmtId="0" fontId="18" fillId="0" borderId="28" xfId="0" applyFont="1" applyBorder="1" applyAlignment="1">
      <alignment horizontal="center" vertical="center"/>
    </xf>
    <xf numFmtId="0" fontId="18" fillId="0" borderId="33" xfId="0" applyFont="1" applyBorder="1" applyAlignment="1">
      <alignment horizontal="center" vertical="center"/>
    </xf>
    <xf numFmtId="0" fontId="18" fillId="0" borderId="34" xfId="0" applyFont="1" applyBorder="1" applyAlignment="1">
      <alignment horizontal="center" vertical="center"/>
    </xf>
    <xf numFmtId="0" fontId="20" fillId="0" borderId="35" xfId="0" applyFont="1" applyBorder="1" applyAlignment="1">
      <alignment horizontal="left" vertical="center"/>
    </xf>
    <xf numFmtId="0" fontId="21" fillId="0" borderId="38" xfId="0" applyFont="1" applyBorder="1" applyAlignment="1">
      <alignment horizontal="right" vertical="center"/>
    </xf>
    <xf numFmtId="0" fontId="0" fillId="0" borderId="39" xfId="0" applyBorder="1" applyAlignment="1">
      <alignment vertical="center"/>
    </xf>
    <xf numFmtId="20" fontId="0" fillId="0" borderId="40" xfId="0" applyNumberFormat="1" applyBorder="1" applyAlignment="1">
      <alignment vertical="center"/>
    </xf>
    <xf numFmtId="20" fontId="0" fillId="0" borderId="41" xfId="0" applyNumberFormat="1" applyBorder="1" applyAlignment="1">
      <alignment vertical="center"/>
    </xf>
    <xf numFmtId="0" fontId="0" fillId="0" borderId="40" xfId="0" applyBorder="1" applyAlignment="1">
      <alignment vertical="center"/>
    </xf>
    <xf numFmtId="0" fontId="0" fillId="0" borderId="41" xfId="0" applyBorder="1" applyAlignment="1">
      <alignment vertical="center"/>
    </xf>
    <xf numFmtId="0" fontId="0" fillId="0" borderId="42" xfId="0" applyBorder="1" applyAlignment="1">
      <alignment vertical="center"/>
    </xf>
    <xf numFmtId="164" fontId="0" fillId="0" borderId="43" xfId="0" applyNumberFormat="1" applyBorder="1" applyAlignment="1">
      <alignment vertical="center"/>
    </xf>
    <xf numFmtId="164" fontId="0" fillId="0" borderId="44" xfId="0" applyNumberFormat="1" applyBorder="1" applyAlignment="1">
      <alignment vertical="center"/>
    </xf>
    <xf numFmtId="164" fontId="0" fillId="0" borderId="45" xfId="0" applyNumberFormat="1" applyBorder="1" applyAlignment="1">
      <alignment vertical="center"/>
    </xf>
    <xf numFmtId="164" fontId="0" fillId="0" borderId="46" xfId="0" applyNumberFormat="1" applyBorder="1" applyAlignment="1">
      <alignment vertical="center"/>
    </xf>
    <xf numFmtId="164" fontId="0" fillId="0" borderId="40" xfId="0" applyNumberFormat="1" applyBorder="1" applyAlignment="1">
      <alignment vertical="center"/>
    </xf>
    <xf numFmtId="164" fontId="0" fillId="0" borderId="47" xfId="0" applyNumberFormat="1" applyBorder="1" applyAlignment="1">
      <alignment vertical="center"/>
    </xf>
    <xf numFmtId="0" fontId="21" fillId="0" borderId="48" xfId="0" applyFont="1" applyBorder="1" applyAlignment="1">
      <alignment horizontal="right" vertical="center"/>
    </xf>
    <xf numFmtId="0" fontId="0" fillId="0" borderId="49" xfId="0" applyBorder="1" applyAlignment="1">
      <alignment vertical="center"/>
    </xf>
    <xf numFmtId="0" fontId="0" fillId="0" borderId="50" xfId="0" applyBorder="1" applyAlignment="1">
      <alignment vertical="center"/>
    </xf>
    <xf numFmtId="0" fontId="0" fillId="0" borderId="51" xfId="0" applyBorder="1" applyAlignment="1">
      <alignment vertical="center"/>
    </xf>
    <xf numFmtId="0" fontId="0" fillId="0" borderId="52" xfId="0" applyBorder="1" applyAlignment="1">
      <alignment vertical="center"/>
    </xf>
    <xf numFmtId="164" fontId="0" fillId="0" borderId="53" xfId="0" applyNumberFormat="1" applyBorder="1" applyAlignment="1">
      <alignment vertical="center"/>
    </xf>
    <xf numFmtId="164" fontId="0" fillId="0" borderId="50" xfId="0" applyNumberFormat="1" applyBorder="1" applyAlignment="1">
      <alignment vertical="center"/>
    </xf>
    <xf numFmtId="164" fontId="0" fillId="0" borderId="54" xfId="0" applyNumberFormat="1" applyBorder="1" applyAlignment="1">
      <alignment vertical="center"/>
    </xf>
    <xf numFmtId="0" fontId="0" fillId="5" borderId="39" xfId="0" applyFill="1" applyBorder="1" applyAlignment="1">
      <alignment vertical="center"/>
    </xf>
    <xf numFmtId="20" fontId="0" fillId="5" borderId="40" xfId="0" applyNumberFormat="1" applyFill="1" applyBorder="1" applyAlignment="1">
      <alignment vertical="center"/>
    </xf>
    <xf numFmtId="20" fontId="0" fillId="5" borderId="41" xfId="0" applyNumberFormat="1" applyFill="1" applyBorder="1" applyAlignment="1">
      <alignment vertical="center"/>
    </xf>
    <xf numFmtId="0" fontId="0" fillId="5" borderId="40" xfId="0" applyFill="1" applyBorder="1" applyAlignment="1">
      <alignment vertical="center"/>
    </xf>
    <xf numFmtId="0" fontId="0" fillId="5" borderId="41" xfId="0" applyFill="1" applyBorder="1" applyAlignment="1">
      <alignment vertical="center"/>
    </xf>
    <xf numFmtId="0" fontId="0" fillId="5" borderId="42" xfId="0" applyFill="1" applyBorder="1" applyAlignment="1">
      <alignment vertical="center"/>
    </xf>
    <xf numFmtId="164" fontId="0" fillId="5" borderId="43" xfId="0" applyNumberFormat="1" applyFill="1" applyBorder="1" applyAlignment="1">
      <alignment vertical="center"/>
    </xf>
    <xf numFmtId="164" fontId="0" fillId="5" borderId="44" xfId="0" applyNumberFormat="1" applyFill="1" applyBorder="1" applyAlignment="1">
      <alignment vertical="center"/>
    </xf>
    <xf numFmtId="164" fontId="0" fillId="5" borderId="46" xfId="0" applyNumberFormat="1" applyFill="1" applyBorder="1" applyAlignment="1">
      <alignment vertical="center"/>
    </xf>
    <xf numFmtId="164" fontId="0" fillId="5" borderId="40" xfId="0" applyNumberFormat="1" applyFill="1" applyBorder="1" applyAlignment="1">
      <alignment vertical="center"/>
    </xf>
    <xf numFmtId="0" fontId="0" fillId="5" borderId="49" xfId="0" applyFill="1" applyBorder="1" applyAlignment="1">
      <alignment vertical="center"/>
    </xf>
    <xf numFmtId="20" fontId="0" fillId="5" borderId="50" xfId="0" applyNumberFormat="1" applyFill="1" applyBorder="1" applyAlignment="1">
      <alignment vertical="center"/>
    </xf>
    <xf numFmtId="0" fontId="0" fillId="5" borderId="50" xfId="0" applyFill="1" applyBorder="1" applyAlignment="1">
      <alignment vertical="center"/>
    </xf>
    <xf numFmtId="0" fontId="0" fillId="5" borderId="51" xfId="0" applyFill="1" applyBorder="1" applyAlignment="1">
      <alignment vertical="center"/>
    </xf>
    <xf numFmtId="0" fontId="0" fillId="5" borderId="52" xfId="0" applyFill="1" applyBorder="1" applyAlignment="1">
      <alignment vertical="center"/>
    </xf>
    <xf numFmtId="164" fontId="0" fillId="5" borderId="53" xfId="0" applyNumberFormat="1" applyFill="1" applyBorder="1" applyAlignment="1">
      <alignment vertical="center"/>
    </xf>
    <xf numFmtId="164" fontId="0" fillId="5" borderId="50" xfId="0" applyNumberFormat="1" applyFill="1" applyBorder="1" applyAlignment="1">
      <alignment vertical="center"/>
    </xf>
    <xf numFmtId="0" fontId="21" fillId="0" borderId="55" xfId="0" applyFont="1" applyBorder="1" applyAlignment="1">
      <alignment horizontal="right" vertical="center"/>
    </xf>
    <xf numFmtId="0" fontId="0" fillId="0" borderId="56" xfId="0" applyBorder="1" applyAlignment="1">
      <alignment vertical="center"/>
    </xf>
    <xf numFmtId="0" fontId="0" fillId="0" borderId="58" xfId="0" applyBorder="1" applyAlignment="1">
      <alignment vertical="center"/>
    </xf>
    <xf numFmtId="0" fontId="0" fillId="0" borderId="57" xfId="0" applyBorder="1" applyAlignment="1">
      <alignment vertical="center"/>
    </xf>
    <xf numFmtId="0" fontId="0" fillId="0" borderId="59" xfId="0" applyBorder="1" applyAlignment="1">
      <alignment vertical="center"/>
    </xf>
    <xf numFmtId="20" fontId="0" fillId="0" borderId="50" xfId="0" applyNumberFormat="1" applyBorder="1" applyAlignment="1">
      <alignment vertical="center"/>
    </xf>
    <xf numFmtId="164" fontId="0" fillId="0" borderId="60" xfId="0" applyNumberFormat="1" applyBorder="1" applyAlignment="1">
      <alignment vertical="center"/>
    </xf>
    <xf numFmtId="164" fontId="0" fillId="0" borderId="41" xfId="0" applyNumberFormat="1" applyBorder="1" applyAlignment="1">
      <alignment vertical="center"/>
    </xf>
    <xf numFmtId="164" fontId="0" fillId="0" borderId="51" xfId="0" applyNumberFormat="1" applyBorder="1" applyAlignment="1">
      <alignment vertical="center"/>
    </xf>
    <xf numFmtId="20" fontId="0" fillId="0" borderId="44" xfId="0" applyNumberFormat="1" applyBorder="1" applyAlignment="1">
      <alignment vertical="center"/>
    </xf>
    <xf numFmtId="0" fontId="18" fillId="5" borderId="25" xfId="0" applyFont="1" applyFill="1" applyBorder="1" applyAlignment="1">
      <alignment horizontal="center" vertical="center"/>
    </xf>
    <xf numFmtId="0" fontId="18" fillId="5" borderId="26" xfId="0" applyFont="1" applyFill="1" applyBorder="1" applyAlignment="1">
      <alignment horizontal="center" vertical="center"/>
    </xf>
    <xf numFmtId="0" fontId="18" fillId="5" borderId="27" xfId="0" applyFont="1" applyFill="1" applyBorder="1" applyAlignment="1">
      <alignment horizontal="center" vertical="center"/>
    </xf>
    <xf numFmtId="0" fontId="0" fillId="5" borderId="56" xfId="0" applyFill="1" applyBorder="1" applyAlignment="1">
      <alignment vertical="center"/>
    </xf>
    <xf numFmtId="164" fontId="0" fillId="5" borderId="61" xfId="0" applyNumberFormat="1" applyFill="1" applyBorder="1" applyAlignment="1">
      <alignment vertical="center"/>
    </xf>
    <xf numFmtId="164" fontId="0" fillId="5" borderId="62" xfId="0" applyNumberFormat="1" applyFill="1" applyBorder="1" applyAlignment="1">
      <alignment vertical="center"/>
    </xf>
    <xf numFmtId="164" fontId="0" fillId="5" borderId="63" xfId="0" applyNumberFormat="1" applyFill="1" applyBorder="1" applyAlignment="1">
      <alignment vertical="center"/>
    </xf>
    <xf numFmtId="164" fontId="0" fillId="0" borderId="61" xfId="0" applyNumberFormat="1" applyBorder="1" applyAlignment="1">
      <alignment vertical="center"/>
    </xf>
    <xf numFmtId="164" fontId="0" fillId="0" borderId="62" xfId="0" applyNumberFormat="1" applyBorder="1" applyAlignment="1">
      <alignment vertical="center"/>
    </xf>
    <xf numFmtId="164" fontId="0" fillId="0" borderId="63" xfId="0" applyNumberFormat="1" applyBorder="1" applyAlignment="1">
      <alignment vertical="center"/>
    </xf>
    <xf numFmtId="0" fontId="1" fillId="0" borderId="25" xfId="2" applyBorder="1" applyAlignment="1">
      <alignment horizontal="center" vertical="center"/>
    </xf>
    <xf numFmtId="0" fontId="1" fillId="0" borderId="69" xfId="2" applyBorder="1" applyAlignment="1">
      <alignment horizontal="center" vertical="center"/>
    </xf>
    <xf numFmtId="0" fontId="1" fillId="0" borderId="0" xfId="2"/>
    <xf numFmtId="0" fontId="22" fillId="7" borderId="11" xfId="2" applyFont="1" applyFill="1" applyBorder="1" applyAlignment="1">
      <alignment vertical="center"/>
    </xf>
    <xf numFmtId="0" fontId="18" fillId="0" borderId="3" xfId="2" applyFont="1" applyBorder="1" applyAlignment="1">
      <alignment horizontal="center" vertical="center"/>
    </xf>
    <xf numFmtId="0" fontId="23" fillId="0" borderId="64" xfId="2" applyFont="1" applyBorder="1" applyAlignment="1">
      <alignment horizontal="left" vertical="center" wrapText="1"/>
    </xf>
    <xf numFmtId="0" fontId="23" fillId="0" borderId="68" xfId="2" applyFont="1" applyBorder="1" applyAlignment="1">
      <alignment horizontal="left" vertical="center" wrapText="1"/>
    </xf>
    <xf numFmtId="0" fontId="18" fillId="0" borderId="25" xfId="2" applyFont="1" applyBorder="1" applyAlignment="1">
      <alignment horizontal="center" vertical="center"/>
    </xf>
    <xf numFmtId="0" fontId="18" fillId="0" borderId="26" xfId="2" applyFont="1" applyBorder="1" applyAlignment="1">
      <alignment horizontal="center" vertical="center"/>
    </xf>
    <xf numFmtId="0" fontId="18" fillId="0" borderId="27" xfId="2" applyFont="1" applyBorder="1" applyAlignment="1">
      <alignment horizontal="center" vertical="center"/>
    </xf>
    <xf numFmtId="0" fontId="1" fillId="0" borderId="49" xfId="2" applyBorder="1" applyAlignment="1">
      <alignment vertical="center"/>
    </xf>
    <xf numFmtId="0" fontId="1" fillId="0" borderId="50" xfId="2" applyBorder="1" applyAlignment="1">
      <alignment vertical="center"/>
    </xf>
    <xf numFmtId="0" fontId="1" fillId="0" borderId="51" xfId="2" applyBorder="1" applyAlignment="1">
      <alignment vertical="center"/>
    </xf>
    <xf numFmtId="0" fontId="1" fillId="0" borderId="65" xfId="2" applyBorder="1" applyAlignment="1">
      <alignment vertical="center"/>
    </xf>
    <xf numFmtId="0" fontId="1" fillId="0" borderId="66" xfId="2" applyBorder="1" applyAlignment="1">
      <alignment vertical="center"/>
    </xf>
    <xf numFmtId="0" fontId="1" fillId="0" borderId="67" xfId="2" applyBorder="1" applyAlignment="1">
      <alignment vertical="center"/>
    </xf>
    <xf numFmtId="0" fontId="18" fillId="0" borderId="28" xfId="2" applyFont="1" applyBorder="1" applyAlignment="1">
      <alignment horizontal="center" vertical="center"/>
    </xf>
    <xf numFmtId="0" fontId="1" fillId="0" borderId="3" xfId="2" applyBorder="1" applyAlignment="1">
      <alignment horizontal="center" vertical="center"/>
    </xf>
    <xf numFmtId="0" fontId="18" fillId="3" borderId="32" xfId="2" applyFont="1" applyFill="1" applyBorder="1" applyAlignment="1">
      <alignment horizontal="center" vertical="center"/>
    </xf>
    <xf numFmtId="0" fontId="18" fillId="3" borderId="3" xfId="2" applyFont="1" applyFill="1" applyBorder="1" applyAlignment="1">
      <alignment horizontal="center" vertical="center"/>
    </xf>
    <xf numFmtId="20" fontId="0" fillId="5" borderId="57" xfId="0" applyNumberFormat="1" applyFill="1" applyBorder="1" applyAlignment="1">
      <alignment vertical="center"/>
    </xf>
    <xf numFmtId="20" fontId="0" fillId="5" borderId="51" xfId="0" applyNumberFormat="1" applyFill="1" applyBorder="1" applyAlignment="1">
      <alignment vertical="center"/>
    </xf>
    <xf numFmtId="20" fontId="0" fillId="5" borderId="44" xfId="0" applyNumberFormat="1" applyFill="1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2" fontId="0" fillId="0" borderId="32" xfId="0" applyNumberForma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7" fillId="3" borderId="4" xfId="0" applyFont="1" applyFill="1" applyBorder="1" applyAlignment="1">
      <alignment horizontal="center" vertical="center"/>
    </xf>
    <xf numFmtId="0" fontId="17" fillId="3" borderId="2" xfId="0" applyFont="1" applyFill="1" applyBorder="1" applyAlignment="1">
      <alignment horizontal="center" vertical="center"/>
    </xf>
    <xf numFmtId="0" fontId="17" fillId="3" borderId="5" xfId="0" applyFont="1" applyFill="1" applyBorder="1" applyAlignment="1">
      <alignment horizontal="center" vertical="center"/>
    </xf>
    <xf numFmtId="0" fontId="12" fillId="7" borderId="11" xfId="0" applyFont="1" applyFill="1" applyBorder="1" applyAlignment="1">
      <alignment horizontal="center" vertical="center"/>
    </xf>
    <xf numFmtId="0" fontId="12" fillId="7" borderId="12" xfId="0" applyFont="1" applyFill="1" applyBorder="1" applyAlignment="1">
      <alignment horizontal="center" vertical="center"/>
    </xf>
    <xf numFmtId="0" fontId="12" fillId="7" borderId="13" xfId="0" applyFont="1" applyFill="1" applyBorder="1" applyAlignment="1">
      <alignment horizontal="center" vertical="center"/>
    </xf>
    <xf numFmtId="0" fontId="12" fillId="7" borderId="36" xfId="0" applyFont="1" applyFill="1" applyBorder="1" applyAlignment="1">
      <alignment horizontal="center" vertical="center"/>
    </xf>
    <xf numFmtId="0" fontId="12" fillId="5" borderId="11" xfId="0" applyFont="1" applyFill="1" applyBorder="1" applyAlignment="1">
      <alignment horizontal="center" vertical="center"/>
    </xf>
    <xf numFmtId="0" fontId="12" fillId="5" borderId="12" xfId="0" applyFont="1" applyFill="1" applyBorder="1" applyAlignment="1">
      <alignment horizontal="center" vertical="center"/>
    </xf>
    <xf numFmtId="0" fontId="12" fillId="5" borderId="13" xfId="0" applyFont="1" applyFill="1" applyBorder="1" applyAlignment="1">
      <alignment horizontal="center" vertical="center"/>
    </xf>
    <xf numFmtId="0" fontId="12" fillId="7" borderId="37" xfId="0" applyFont="1" applyFill="1" applyBorder="1" applyAlignment="1">
      <alignment horizontal="center" vertical="center"/>
    </xf>
    <xf numFmtId="14" fontId="18" fillId="0" borderId="3" xfId="0" applyNumberFormat="1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14" fontId="18" fillId="0" borderId="25" xfId="0" applyNumberFormat="1" applyFont="1" applyBorder="1" applyAlignment="1">
      <alignment horizontal="center" vertical="center"/>
    </xf>
    <xf numFmtId="0" fontId="18" fillId="0" borderId="26" xfId="0" applyFont="1" applyBorder="1" applyAlignment="1">
      <alignment horizontal="center" vertical="center"/>
    </xf>
    <xf numFmtId="0" fontId="18" fillId="0" borderId="27" xfId="0" applyFont="1" applyBorder="1" applyAlignment="1">
      <alignment horizontal="center" vertical="center"/>
    </xf>
    <xf numFmtId="0" fontId="18" fillId="0" borderId="28" xfId="0" applyFont="1" applyBorder="1" applyAlignment="1">
      <alignment horizontal="center" vertical="center"/>
    </xf>
    <xf numFmtId="0" fontId="18" fillId="0" borderId="29" xfId="0" applyFont="1" applyBorder="1" applyAlignment="1">
      <alignment horizontal="center" vertical="center"/>
    </xf>
    <xf numFmtId="0" fontId="18" fillId="0" borderId="30" xfId="0" applyFont="1" applyBorder="1" applyAlignment="1">
      <alignment horizontal="center" vertical="center"/>
    </xf>
    <xf numFmtId="0" fontId="18" fillId="0" borderId="31" xfId="0" applyFont="1" applyBorder="1" applyAlignment="1">
      <alignment horizontal="center" vertical="center"/>
    </xf>
    <xf numFmtId="14" fontId="18" fillId="5" borderId="3" xfId="0" applyNumberFormat="1" applyFont="1" applyFill="1" applyBorder="1" applyAlignment="1">
      <alignment horizontal="center" vertical="center"/>
    </xf>
    <xf numFmtId="0" fontId="18" fillId="5" borderId="3" xfId="0" applyFont="1" applyFill="1" applyBorder="1" applyAlignment="1">
      <alignment horizontal="center" vertical="center"/>
    </xf>
    <xf numFmtId="14" fontId="18" fillId="0" borderId="3" xfId="2" applyNumberFormat="1" applyFont="1" applyBorder="1" applyAlignment="1">
      <alignment horizontal="center" vertical="center"/>
    </xf>
    <xf numFmtId="0" fontId="18" fillId="0" borderId="3" xfId="2" applyFont="1" applyBorder="1" applyAlignment="1">
      <alignment horizontal="center" vertical="center"/>
    </xf>
    <xf numFmtId="0" fontId="1" fillId="7" borderId="11" xfId="2" applyFill="1" applyBorder="1" applyAlignment="1">
      <alignment horizontal="center" vertical="center"/>
    </xf>
    <xf numFmtId="0" fontId="1" fillId="7" borderId="12" xfId="2" applyFill="1" applyBorder="1" applyAlignment="1">
      <alignment horizontal="center" vertical="center"/>
    </xf>
    <xf numFmtId="0" fontId="1" fillId="7" borderId="13" xfId="2" applyFill="1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70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18" fillId="0" borderId="25" xfId="2" applyFont="1" applyBorder="1" applyAlignment="1">
      <alignment horizontal="center" vertical="center"/>
    </xf>
    <xf numFmtId="0" fontId="18" fillId="0" borderId="26" xfId="2" applyFont="1" applyBorder="1" applyAlignment="1">
      <alignment horizontal="center" vertical="center"/>
    </xf>
    <xf numFmtId="0" fontId="18" fillId="0" borderId="28" xfId="2" applyFont="1" applyBorder="1" applyAlignment="1">
      <alignment horizontal="center" vertical="center"/>
    </xf>
    <xf numFmtId="0" fontId="18" fillId="0" borderId="24" xfId="2" applyFont="1" applyBorder="1" applyAlignment="1">
      <alignment horizontal="center" vertical="center"/>
    </xf>
    <xf numFmtId="0" fontId="18" fillId="0" borderId="32" xfId="2" applyFont="1" applyBorder="1" applyAlignment="1">
      <alignment horizontal="center" vertical="center"/>
    </xf>
    <xf numFmtId="0" fontId="13" fillId="0" borderId="11" xfId="0" applyFont="1" applyBorder="1" applyAlignment="1">
      <alignment horizontal="center"/>
    </xf>
    <xf numFmtId="0" fontId="13" fillId="0" borderId="12" xfId="0" applyFont="1" applyBorder="1" applyAlignment="1">
      <alignment horizontal="center"/>
    </xf>
    <xf numFmtId="0" fontId="13" fillId="0" borderId="13" xfId="0" applyFont="1" applyBorder="1" applyAlignment="1">
      <alignment horizontal="center"/>
    </xf>
  </cellXfs>
  <cellStyles count="4">
    <cellStyle name="Normal" xfId="0" builtinId="0"/>
    <cellStyle name="Normal 2" xfId="3"/>
    <cellStyle name="Normal 3" xfId="2"/>
    <cellStyle name="Porcentaje" xfId="1" builtinId="5"/>
  </cellStyles>
  <dxfs count="204"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rgb="FF00206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rgb="FF00206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rgb="FF00206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rgb="FF00206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rgb="FF00206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rgb="FF00206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rgb="FF00206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rgb="FF00206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19" formatCode="dd/mm/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rgb="FF00206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rgb="FF00206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rgb="FF00206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19" formatCode="dd/mm/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rgb="FF00206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19" formatCode="dd/mm/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rgb="FF00206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19" formatCode="dd/mm/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rgb="FF00206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19" formatCode="dd/mm/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726410731206414E-2"/>
          <c:y val="6.881279470553453E-2"/>
          <c:w val="0.63174794686316249"/>
          <c:h val="0.827722525675281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'TTE 6 '!$P$2</c:f>
              <c:strCache>
                <c:ptCount val="1"/>
                <c:pt idx="0">
                  <c:v>Llegada a instalación</c:v>
                </c:pt>
              </c:strCache>
            </c:strRef>
          </c:tx>
          <c:spPr>
            <a:solidFill>
              <a:schemeClr val="bg1"/>
            </a:solidFill>
            <a:ln w="0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'!$P$3:$P$7</c15:sqref>
                  </c15:fullRef>
                </c:ext>
              </c:extLst>
              <c:f>'TTE 6 '!$P$3:$P$7</c:f>
              <c:numCache>
                <c:formatCode>h:mm</c:formatCode>
                <c:ptCount val="5"/>
                <c:pt idx="0">
                  <c:v>0.33333333333333331</c:v>
                </c:pt>
                <c:pt idx="1">
                  <c:v>0.33680555555555558</c:v>
                </c:pt>
                <c:pt idx="2">
                  <c:v>0.33333333333333331</c:v>
                </c:pt>
                <c:pt idx="3">
                  <c:v>0.33680555555555558</c:v>
                </c:pt>
                <c:pt idx="4">
                  <c:v>0.33333333333333331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7-4795-99FB-E6DC4241DC57}"/>
            </c:ext>
          </c:extLst>
        </c:ser>
        <c:ser>
          <c:idx val="1"/>
          <c:order val="1"/>
          <c:tx>
            <c:strRef>
              <c:f>'TTE 6 '!$Q$2</c:f>
              <c:strCache>
                <c:ptCount val="1"/>
                <c:pt idx="0">
                  <c:v>Tiempo en instalación 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'!$Q$3:$Q$7</c15:sqref>
                  </c15:fullRef>
                </c:ext>
              </c:extLst>
              <c:f>'TTE 6 '!$Q$3:$Q$7</c:f>
              <c:numCache>
                <c:formatCode>h:mm</c:formatCode>
                <c:ptCount val="5"/>
                <c:pt idx="0">
                  <c:v>3.125E-2</c:v>
                </c:pt>
                <c:pt idx="1">
                  <c:v>2.0833333333333315E-2</c:v>
                </c:pt>
                <c:pt idx="2">
                  <c:v>2.777777777777779E-2</c:v>
                </c:pt>
                <c:pt idx="3">
                  <c:v>1.7361111111111105E-2</c:v>
                </c:pt>
                <c:pt idx="4">
                  <c:v>2.777777777777779E-2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57-4795-99FB-E6DC4241DC57}"/>
            </c:ext>
          </c:extLst>
        </c:ser>
        <c:ser>
          <c:idx val="2"/>
          <c:order val="2"/>
          <c:tx>
            <c:strRef>
              <c:f>'TTE 6 '!$R$2</c:f>
              <c:strCache>
                <c:ptCount val="1"/>
                <c:pt idx="0">
                  <c:v>Traslado a postura </c:v>
                </c:pt>
              </c:strCache>
            </c:strRef>
          </c:tx>
          <c:spPr>
            <a:solidFill>
              <a:srgbClr val="FF0000"/>
            </a:solidFill>
            <a:ln cap="sq" cmpd="sng"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'!$R$3:$R$7</c15:sqref>
                  </c15:fullRef>
                </c:ext>
              </c:extLst>
              <c:f>'TTE 6 '!$R$3:$R$7</c:f>
              <c:numCache>
                <c:formatCode>h:mm</c:formatCode>
                <c:ptCount val="5"/>
                <c:pt idx="0">
                  <c:v>1.0416666666666685E-2</c:v>
                </c:pt>
                <c:pt idx="1">
                  <c:v>1.9444444444444486E-2</c:v>
                </c:pt>
                <c:pt idx="2">
                  <c:v>1.736111111111116E-2</c:v>
                </c:pt>
                <c:pt idx="3">
                  <c:v>1.7361111111111049E-2</c:v>
                </c:pt>
                <c:pt idx="4">
                  <c:v>1.736111111111116E-2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57-4795-99FB-E6DC4241DC57}"/>
            </c:ext>
          </c:extLst>
        </c:ser>
        <c:ser>
          <c:idx val="3"/>
          <c:order val="3"/>
          <c:tx>
            <c:strRef>
              <c:f>'TTE 6 '!$S$2</c:f>
              <c:strCache>
                <c:ptCount val="1"/>
                <c:pt idx="0">
                  <c:v>Tiempo disponible AM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'!$S$3:$S$7</c15:sqref>
                  </c15:fullRef>
                </c:ext>
              </c:extLst>
              <c:f>'TTE 6 '!$S$3:$S$7</c:f>
              <c:numCache>
                <c:formatCode>h:mm</c:formatCode>
                <c:ptCount val="5"/>
                <c:pt idx="0">
                  <c:v>0.23958333333333337</c:v>
                </c:pt>
                <c:pt idx="1">
                  <c:v>0.23402777777777767</c:v>
                </c:pt>
                <c:pt idx="2">
                  <c:v>0.22916666666666669</c:v>
                </c:pt>
                <c:pt idx="3">
                  <c:v>0.23958333333333331</c:v>
                </c:pt>
                <c:pt idx="4">
                  <c:v>0.22916666666666669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57-4795-99FB-E6DC4241DC57}"/>
            </c:ext>
          </c:extLst>
        </c:ser>
        <c:ser>
          <c:idx val="9"/>
          <c:order val="4"/>
          <c:tx>
            <c:strRef>
              <c:f>'TTE 6 '!$T$2</c:f>
              <c:strCache>
                <c:ptCount val="1"/>
                <c:pt idx="0">
                  <c:v>Traslado Colación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'!$T$3:$T$7</c15:sqref>
                  </c15:fullRef>
                </c:ext>
              </c:extLst>
              <c:f>'TTE 6 '!$T$3:$T$7</c:f>
              <c:numCache>
                <c:formatCode>h:mm</c:formatCode>
                <c:ptCount val="5"/>
                <c:pt idx="0">
                  <c:v>6.9444444444444198E-3</c:v>
                </c:pt>
                <c:pt idx="1">
                  <c:v>1.2500000000000067E-2</c:v>
                </c:pt>
                <c:pt idx="2">
                  <c:v>6.9444444444444198E-3</c:v>
                </c:pt>
                <c:pt idx="3">
                  <c:v>1.0416666666666741E-2</c:v>
                </c:pt>
                <c:pt idx="4">
                  <c:v>1.388888888888884E-2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9D-4175-B618-9350432A1323}"/>
            </c:ext>
          </c:extLst>
        </c:ser>
        <c:ser>
          <c:idx val="4"/>
          <c:order val="5"/>
          <c:tx>
            <c:strRef>
              <c:f>'TTE 6 '!$U$2</c:f>
              <c:strCache>
                <c:ptCount val="1"/>
                <c:pt idx="0">
                  <c:v>Almuerzo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'!$U$3:$U$7</c15:sqref>
                  </c15:fullRef>
                </c:ext>
              </c:extLst>
              <c:f>'TTE 6 '!$U$3:$U$7</c:f>
              <c:numCache>
                <c:formatCode>h:mm</c:formatCode>
                <c:ptCount val="5"/>
                <c:pt idx="0">
                  <c:v>2.0833333333333259E-2</c:v>
                </c:pt>
                <c:pt idx="1">
                  <c:v>2.2222222222222254E-2</c:v>
                </c:pt>
                <c:pt idx="2">
                  <c:v>2.430555555555558E-2</c:v>
                </c:pt>
                <c:pt idx="3">
                  <c:v>2.430555555555558E-2</c:v>
                </c:pt>
                <c:pt idx="4">
                  <c:v>2.430555555555558E-2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57-4795-99FB-E6DC4241DC57}"/>
            </c:ext>
          </c:extLst>
        </c:ser>
        <c:ser>
          <c:idx val="12"/>
          <c:order val="6"/>
          <c:tx>
            <c:strRef>
              <c:f>'TTE 6 '!$V$2</c:f>
              <c:strCache>
                <c:ptCount val="1"/>
                <c:pt idx="0">
                  <c:v>Tiempo disponible PM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'!$V$3:$V$7</c15:sqref>
                  </c15:fullRef>
                </c:ext>
              </c:extLst>
              <c:f>'TTE 6 '!$V$3:$V$7</c:f>
              <c:numCache>
                <c:formatCode>h:mm</c:formatCode>
                <c:ptCount val="5"/>
                <c:pt idx="0">
                  <c:v>1.736111111111116E-2</c:v>
                </c:pt>
                <c:pt idx="1">
                  <c:v>1.3888888888888618E-2</c:v>
                </c:pt>
                <c:pt idx="2">
                  <c:v>2.0833333333333259E-2</c:v>
                </c:pt>
                <c:pt idx="3">
                  <c:v>1.3888888888888618E-2</c:v>
                </c:pt>
                <c:pt idx="4">
                  <c:v>1.388888888888884E-2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57-4795-99FB-E6DC4241D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445914024"/>
        <c:axId val="445916376"/>
      </c:barChart>
      <c:lineChart>
        <c:grouping val="standard"/>
        <c:varyColors val="0"/>
        <c:ser>
          <c:idx val="5"/>
          <c:order val="7"/>
          <c:tx>
            <c:strRef>
              <c:f>'TTE 6 '!$W$2</c:f>
              <c:strCache>
                <c:ptCount val="1"/>
                <c:pt idx="0">
                  <c:v>1. Llegada a instalación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'TTE 6 '!$N$3:$N$7</c15:sqref>
                  </c15:fullRef>
                </c:ext>
              </c:extLst>
              <c:f>'TTE 6 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'!$W$3:$W$14</c15:sqref>
                  </c15:fullRef>
                </c:ext>
              </c:extLst>
              <c:f>'TTE 6 '!$W$3:$W$7</c:f>
              <c:numCache>
                <c:formatCode>h:mm</c:formatCode>
                <c:ptCount val="5"/>
                <c:pt idx="0">
                  <c:v>0.33333333333333331</c:v>
                </c:pt>
                <c:pt idx="1">
                  <c:v>0.33333333333333331</c:v>
                </c:pt>
                <c:pt idx="2">
                  <c:v>0.33333333333333331</c:v>
                </c:pt>
                <c:pt idx="3">
                  <c:v>0.33333333333333331</c:v>
                </c:pt>
                <c:pt idx="4">
                  <c:v>0.33333333333333331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A57-4795-99FB-E6DC4241DC57}"/>
            </c:ext>
          </c:extLst>
        </c:ser>
        <c:ser>
          <c:idx val="6"/>
          <c:order val="8"/>
          <c:tx>
            <c:strRef>
              <c:f>'TTE 6 '!$X$2</c:f>
              <c:strCache>
                <c:ptCount val="1"/>
                <c:pt idx="0">
                  <c:v>2. Salida de instalación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'TTE 6 '!$N$3:$N$7</c15:sqref>
                  </c15:fullRef>
                </c:ext>
              </c:extLst>
              <c:f>'TTE 6 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'!$X$3:$X$14</c15:sqref>
                  </c15:fullRef>
                </c:ext>
              </c:extLst>
              <c:f>'TTE 6 '!$X$3:$X$7</c:f>
              <c:numCache>
                <c:formatCode>h:mm</c:formatCode>
                <c:ptCount val="5"/>
                <c:pt idx="0">
                  <c:v>0.35416666666666669</c:v>
                </c:pt>
                <c:pt idx="1">
                  <c:v>0.35416666666666669</c:v>
                </c:pt>
                <c:pt idx="2">
                  <c:v>0.35416666666666669</c:v>
                </c:pt>
                <c:pt idx="3">
                  <c:v>0.35416666666666669</c:v>
                </c:pt>
                <c:pt idx="4">
                  <c:v>0.35416666666666669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A57-4795-99FB-E6DC4241DC57}"/>
            </c:ext>
          </c:extLst>
        </c:ser>
        <c:ser>
          <c:idx val="7"/>
          <c:order val="9"/>
          <c:tx>
            <c:strRef>
              <c:f>'TTE 6 '!$Y$2</c:f>
              <c:strCache>
                <c:ptCount val="1"/>
                <c:pt idx="0">
                  <c:v>3. Inicio de actividades AM</c:v>
                </c:pt>
              </c:strCache>
            </c:strRef>
          </c:tx>
          <c:spPr>
            <a:ln w="508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'TTE 6 '!$N$3:$N$7</c15:sqref>
                  </c15:fullRef>
                </c:ext>
              </c:extLst>
              <c:f>'TTE 6 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'!$Y$3:$Y$14</c15:sqref>
                  </c15:fullRef>
                </c:ext>
              </c:extLst>
              <c:f>'TTE 6 '!$Y$3:$Y$7</c:f>
              <c:numCache>
                <c:formatCode>h:mm</c:formatCode>
                <c:ptCount val="5"/>
                <c:pt idx="0">
                  <c:v>0.375</c:v>
                </c:pt>
                <c:pt idx="1">
                  <c:v>0.375</c:v>
                </c:pt>
                <c:pt idx="2">
                  <c:v>0.375</c:v>
                </c:pt>
                <c:pt idx="3">
                  <c:v>0.375</c:v>
                </c:pt>
                <c:pt idx="4">
                  <c:v>0.375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A57-4795-99FB-E6DC4241DC57}"/>
            </c:ext>
          </c:extLst>
        </c:ser>
        <c:ser>
          <c:idx val="8"/>
          <c:order val="10"/>
          <c:tx>
            <c:strRef>
              <c:f>'TTE 6 '!$Z$2</c:f>
              <c:strCache>
                <c:ptCount val="1"/>
                <c:pt idx="0">
                  <c:v>4. Término de actividades AM</c:v>
                </c:pt>
              </c:strCache>
            </c:strRef>
          </c:tx>
          <c:spPr>
            <a:ln w="508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'TTE 6 '!$N$3:$N$7</c15:sqref>
                  </c15:fullRef>
                </c:ext>
              </c:extLst>
              <c:f>'TTE 6 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'!$Z$3:$Z$14</c15:sqref>
                  </c15:fullRef>
                </c:ext>
              </c:extLst>
              <c:f>'TTE 6 '!$Z$3:$Z$7</c:f>
              <c:numCache>
                <c:formatCode>h:mm</c:formatCode>
                <c:ptCount val="5"/>
                <c:pt idx="0">
                  <c:v>0.59375</c:v>
                </c:pt>
                <c:pt idx="1">
                  <c:v>0.59375</c:v>
                </c:pt>
                <c:pt idx="2">
                  <c:v>0.59375</c:v>
                </c:pt>
                <c:pt idx="3">
                  <c:v>0.59375</c:v>
                </c:pt>
                <c:pt idx="4">
                  <c:v>0.59375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A57-4795-99FB-E6DC4241DC57}"/>
            </c:ext>
          </c:extLst>
        </c:ser>
        <c:ser>
          <c:idx val="10"/>
          <c:order val="11"/>
          <c:tx>
            <c:strRef>
              <c:f>'TTE 6 '!$AA$2</c:f>
              <c:strCache>
                <c:ptCount val="1"/>
                <c:pt idx="0">
                  <c:v>5. Almuerzo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'TTE 6 '!$N$3:$N$7</c15:sqref>
                  </c15:fullRef>
                </c:ext>
              </c:extLst>
              <c:f>'TTE 6 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'!$AA$3:$AA$7</c15:sqref>
                  </c15:fullRef>
                </c:ext>
              </c:extLst>
              <c:f>'TTE 6 '!$AA$3:$AA$7</c:f>
              <c:numCache>
                <c:formatCode>h:mm</c:formatCode>
                <c:ptCount val="5"/>
                <c:pt idx="0">
                  <c:v>0.61458333333333337</c:v>
                </c:pt>
                <c:pt idx="1">
                  <c:v>0.61458333333333337</c:v>
                </c:pt>
                <c:pt idx="2">
                  <c:v>0.61458333333333337</c:v>
                </c:pt>
                <c:pt idx="3">
                  <c:v>0.61458333333333337</c:v>
                </c:pt>
                <c:pt idx="4">
                  <c:v>0.61458333333333337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9D-4175-B618-9350432A1323}"/>
            </c:ext>
          </c:extLst>
        </c:ser>
        <c:ser>
          <c:idx val="14"/>
          <c:order val="12"/>
          <c:tx>
            <c:strRef>
              <c:f>'TTE 6 '!$AB$2</c:f>
              <c:strCache>
                <c:ptCount val="1"/>
                <c:pt idx="0">
                  <c:v>6. Inicio Actividades PM</c:v>
                </c:pt>
              </c:strCache>
            </c:strRef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'TTE 6 '!$N$3:$N$7</c15:sqref>
                  </c15:fullRef>
                </c:ext>
              </c:extLst>
              <c:f>'TTE 6 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'!$AB$3:$AB$14</c15:sqref>
                  </c15:fullRef>
                </c:ext>
              </c:extLst>
              <c:f>'TTE 6 '!$AB$3:$AB$7</c:f>
              <c:numCache>
                <c:formatCode>h:mm</c:formatCode>
                <c:ptCount val="5"/>
                <c:pt idx="0">
                  <c:v>0.63541666666666663</c:v>
                </c:pt>
                <c:pt idx="1">
                  <c:v>0.63541666666666663</c:v>
                </c:pt>
                <c:pt idx="2">
                  <c:v>0.63541666666666663</c:v>
                </c:pt>
                <c:pt idx="3">
                  <c:v>0.63541666666666663</c:v>
                </c:pt>
                <c:pt idx="4">
                  <c:v>0.63541666666666663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A57-4795-99FB-E6DC4241DC57}"/>
            </c:ext>
          </c:extLst>
        </c:ser>
        <c:ser>
          <c:idx val="19"/>
          <c:order val="13"/>
          <c:tx>
            <c:strRef>
              <c:f>'TTE 6 '!$AC$2</c:f>
              <c:strCache>
                <c:ptCount val="1"/>
                <c:pt idx="0">
                  <c:v>7. término Actividades PM</c:v>
                </c:pt>
              </c:strCache>
            </c:strRef>
          </c:tx>
          <c:spPr>
            <a:ln w="5080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'TTE 6 '!$N$3:$N$7</c15:sqref>
                  </c15:fullRef>
                </c:ext>
              </c:extLst>
              <c:f>'TTE 6 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'!$AC$3:$AC$14</c15:sqref>
                  </c15:fullRef>
                </c:ext>
              </c:extLst>
              <c:f>'TTE 6 '!$AC$3:$AC$7</c:f>
              <c:numCache>
                <c:formatCode>h:mm</c:formatCode>
                <c:ptCount val="5"/>
                <c:pt idx="0">
                  <c:v>0.66666666666666663</c:v>
                </c:pt>
                <c:pt idx="1">
                  <c:v>0.66666666666666663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21-40B8-A725-E65B89899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5917552"/>
        <c:axId val="445914416"/>
      </c:lineChart>
      <c:catAx>
        <c:axId val="445914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0795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45916376"/>
        <c:crossesAt val="0"/>
        <c:auto val="1"/>
        <c:lblAlgn val="ctr"/>
        <c:lblOffset val="60"/>
        <c:noMultiLvlLbl val="0"/>
      </c:catAx>
      <c:valAx>
        <c:axId val="445916376"/>
        <c:scaling>
          <c:orientation val="minMax"/>
          <c:max val="0.66800000000000015"/>
          <c:min val="0.33400000000000007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200"/>
                  <a:t>horario turno [h]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45914024"/>
        <c:crosses val="autoZero"/>
        <c:crossBetween val="between"/>
        <c:majorUnit val="4.1600000000000012E-2"/>
        <c:minorUnit val="8.3300000000000023E-3"/>
      </c:valAx>
      <c:valAx>
        <c:axId val="445914416"/>
        <c:scaling>
          <c:orientation val="minMax"/>
          <c:max val="0.68000000000000016"/>
          <c:min val="0.33400000000000007"/>
        </c:scaling>
        <c:delete val="0"/>
        <c:axPos val="r"/>
        <c:numFmt formatCode="h:mm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45917552"/>
        <c:crosses val="max"/>
        <c:crossBetween val="between"/>
        <c:majorUnit val="4.1600000000000012E-2"/>
      </c:valAx>
      <c:catAx>
        <c:axId val="4459175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5914416"/>
        <c:crosses val="autoZero"/>
        <c:auto val="1"/>
        <c:lblAlgn val="ctr"/>
        <c:lblOffset val="100"/>
        <c:noMultiLvlLbl val="0"/>
      </c:catAx>
      <c:spPr>
        <a:solidFill>
          <a:schemeClr val="bg1">
            <a:lumMod val="95000"/>
          </a:schemeClr>
        </a:solidFill>
        <a:ln w="180975"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r"/>
      <c:legendEntry>
        <c:idx val="6"/>
        <c:delete val="1"/>
      </c:legendEntry>
      <c:layout>
        <c:manualLayout>
          <c:xMode val="edge"/>
          <c:yMode val="edge"/>
          <c:x val="0.73396349538586303"/>
          <c:y val="4.2363227223204618E-2"/>
          <c:w val="0.25679428938626514"/>
          <c:h val="0.59664325885599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aseline="0">
          <a:solidFill>
            <a:schemeClr val="tx1"/>
          </a:solidFill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128846150660712E-2"/>
          <c:y val="6.5347393249379326E-2"/>
          <c:w val="0.63174794686316249"/>
          <c:h val="0.827722525675281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'La junta'!$P$2</c:f>
              <c:strCache>
                <c:ptCount val="1"/>
                <c:pt idx="0">
                  <c:v>Llegada a instalación</c:v>
                </c:pt>
              </c:strCache>
            </c:strRef>
          </c:tx>
          <c:spPr>
            <a:solidFill>
              <a:schemeClr val="bg1"/>
            </a:solidFill>
            <a:ln w="0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'La junta'!$P$3:$P$7</c15:sqref>
                  </c15:fullRef>
                </c:ext>
              </c:extLst>
              <c:f>'La junta'!$P$3:$P$7</c:f>
              <c:numCache>
                <c:formatCode>h:mm</c:formatCode>
                <c:ptCount val="5"/>
                <c:pt idx="0">
                  <c:v>0.3125</c:v>
                </c:pt>
                <c:pt idx="1">
                  <c:v>0.31458333333333333</c:v>
                </c:pt>
                <c:pt idx="2">
                  <c:v>0.3125</c:v>
                </c:pt>
                <c:pt idx="3">
                  <c:v>0.3125</c:v>
                </c:pt>
                <c:pt idx="4">
                  <c:v>0.31458333333333333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7-4795-99FB-E6DC4241DC57}"/>
            </c:ext>
          </c:extLst>
        </c:ser>
        <c:ser>
          <c:idx val="1"/>
          <c:order val="1"/>
          <c:tx>
            <c:strRef>
              <c:f>'La junta'!$Q$2</c:f>
              <c:strCache>
                <c:ptCount val="1"/>
                <c:pt idx="0">
                  <c:v>Tiempo en instalación 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'La junta'!$Q$3:$Q$7</c15:sqref>
                  </c15:fullRef>
                </c:ext>
              </c:extLst>
              <c:f>'La junta'!$Q$3:$Q$7</c:f>
              <c:numCache>
                <c:formatCode>h:mm</c:formatCode>
                <c:ptCount val="5"/>
                <c:pt idx="0">
                  <c:v>2.0833333333333315E-2</c:v>
                </c:pt>
                <c:pt idx="1">
                  <c:v>1.5277777777777779E-2</c:v>
                </c:pt>
                <c:pt idx="2">
                  <c:v>1.7361111111111105E-2</c:v>
                </c:pt>
                <c:pt idx="3">
                  <c:v>1.7361111111111105E-2</c:v>
                </c:pt>
                <c:pt idx="4">
                  <c:v>1.5277777777777779E-2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57-4795-99FB-E6DC4241DC57}"/>
            </c:ext>
          </c:extLst>
        </c:ser>
        <c:ser>
          <c:idx val="2"/>
          <c:order val="2"/>
          <c:tx>
            <c:strRef>
              <c:f>'La junta'!$R$2</c:f>
              <c:strCache>
                <c:ptCount val="1"/>
                <c:pt idx="0">
                  <c:v>Traslado a postura </c:v>
                </c:pt>
              </c:strCache>
            </c:strRef>
          </c:tx>
          <c:spPr>
            <a:solidFill>
              <a:srgbClr val="FF0000"/>
            </a:solidFill>
            <a:ln cap="sq" cmpd="sng"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'La junta'!$R$3:$R$7</c15:sqref>
                  </c15:fullRef>
                </c:ext>
              </c:extLst>
              <c:f>'La junta'!$R$3:$R$7</c:f>
              <c:numCache>
                <c:formatCode>h:mm</c:formatCode>
                <c:ptCount val="5"/>
                <c:pt idx="0">
                  <c:v>8.3333333333333037E-3</c:v>
                </c:pt>
                <c:pt idx="1">
                  <c:v>1.041666666666663E-2</c:v>
                </c:pt>
                <c:pt idx="2">
                  <c:v>1.2500000000000011E-2</c:v>
                </c:pt>
                <c:pt idx="3">
                  <c:v>1.1111111111111127E-2</c:v>
                </c:pt>
                <c:pt idx="4">
                  <c:v>1.041666666666663E-2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57-4795-99FB-E6DC4241DC57}"/>
            </c:ext>
          </c:extLst>
        </c:ser>
        <c:ser>
          <c:idx val="3"/>
          <c:order val="3"/>
          <c:tx>
            <c:strRef>
              <c:f>'La junta'!$S$2</c:f>
              <c:strCache>
                <c:ptCount val="1"/>
                <c:pt idx="0">
                  <c:v>Tiempo disponible AM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'La junta'!$S$3:$S$7</c15:sqref>
                  </c15:fullRef>
                </c:ext>
              </c:extLst>
              <c:f>'La junta'!$S$3:$S$7</c:f>
              <c:numCache>
                <c:formatCode>h:mm</c:formatCode>
                <c:ptCount val="5"/>
                <c:pt idx="0">
                  <c:v>0.17916666666666675</c:v>
                </c:pt>
                <c:pt idx="1">
                  <c:v>0.18055555555555564</c:v>
                </c:pt>
                <c:pt idx="2">
                  <c:v>0.17847222222222225</c:v>
                </c:pt>
                <c:pt idx="3">
                  <c:v>0.17986111111111114</c:v>
                </c:pt>
                <c:pt idx="4">
                  <c:v>0.18055555555555564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57-4795-99FB-E6DC4241DC57}"/>
            </c:ext>
          </c:extLst>
        </c:ser>
        <c:ser>
          <c:idx val="9"/>
          <c:order val="4"/>
          <c:tx>
            <c:strRef>
              <c:f>'La junta'!$T$2</c:f>
              <c:strCache>
                <c:ptCount val="1"/>
                <c:pt idx="0">
                  <c:v>Traslado Colación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'La junta'!$T$3:$T$7</c15:sqref>
                  </c15:fullRef>
                </c:ext>
              </c:extLst>
              <c:f>'La junta'!$T$3:$T$7</c:f>
              <c:numCache>
                <c:formatCode>h:mm</c:formatCode>
                <c:ptCount val="5"/>
                <c:pt idx="0">
                  <c:v>6.9444444444444198E-3</c:v>
                </c:pt>
                <c:pt idx="1">
                  <c:v>6.9444444444444198E-3</c:v>
                </c:pt>
                <c:pt idx="2">
                  <c:v>6.9444444444444198E-3</c:v>
                </c:pt>
                <c:pt idx="3">
                  <c:v>3.4722222222222099E-3</c:v>
                </c:pt>
                <c:pt idx="4">
                  <c:v>3.4722222222222099E-3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9D-4175-B618-9350432A1323}"/>
            </c:ext>
          </c:extLst>
        </c:ser>
        <c:ser>
          <c:idx val="4"/>
          <c:order val="5"/>
          <c:tx>
            <c:strRef>
              <c:f>'La junta'!$U$2</c:f>
              <c:strCache>
                <c:ptCount val="1"/>
                <c:pt idx="0">
                  <c:v>Almuerzo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'La junta'!$U$3:$U$7</c15:sqref>
                  </c15:fullRef>
                </c:ext>
              </c:extLst>
              <c:f>'La junta'!$U$3:$U$7</c:f>
              <c:numCache>
                <c:formatCode>h:mm</c:formatCode>
                <c:ptCount val="5"/>
                <c:pt idx="0">
                  <c:v>2.430555555555558E-2</c:v>
                </c:pt>
                <c:pt idx="1">
                  <c:v>2.0833333333333259E-2</c:v>
                </c:pt>
                <c:pt idx="2">
                  <c:v>2.777777777777779E-2</c:v>
                </c:pt>
                <c:pt idx="3">
                  <c:v>2.4305555555555469E-2</c:v>
                </c:pt>
                <c:pt idx="4">
                  <c:v>2.777777777777779E-2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57-4795-99FB-E6DC4241DC57}"/>
            </c:ext>
          </c:extLst>
        </c:ser>
        <c:ser>
          <c:idx val="12"/>
          <c:order val="6"/>
          <c:tx>
            <c:strRef>
              <c:f>'La junta'!$V$2</c:f>
              <c:strCache>
                <c:ptCount val="1"/>
                <c:pt idx="0">
                  <c:v>Tiempo disponible PM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'La junta'!$V$3:$V$7</c15:sqref>
                  </c15:fullRef>
                </c:ext>
              </c:extLst>
              <c:f>'La junta'!$V$3:$V$7</c:f>
              <c:numCache>
                <c:formatCode>h:mm</c:formatCode>
                <c:ptCount val="5"/>
                <c:pt idx="0">
                  <c:v>0.10763888888888884</c:v>
                </c:pt>
                <c:pt idx="1">
                  <c:v>0.11111111111111116</c:v>
                </c:pt>
                <c:pt idx="2">
                  <c:v>0.10416666666666663</c:v>
                </c:pt>
                <c:pt idx="3">
                  <c:v>0.11111111111111116</c:v>
                </c:pt>
                <c:pt idx="4">
                  <c:v>0.10763888888888884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57-4795-99FB-E6DC4241D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620022800"/>
        <c:axId val="620016528"/>
      </c:barChart>
      <c:lineChart>
        <c:grouping val="standard"/>
        <c:varyColors val="0"/>
        <c:ser>
          <c:idx val="5"/>
          <c:order val="7"/>
          <c:tx>
            <c:strRef>
              <c:f>'La junta'!$W$2</c:f>
              <c:strCache>
                <c:ptCount val="1"/>
                <c:pt idx="0">
                  <c:v>1. Llegada a instalación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'La junta'!$N$3:$N$7</c15:sqref>
                  </c15:fullRef>
                </c:ext>
              </c:extLst>
              <c:f>'La junta'!$N$3:$N$7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'La junta'!$W$3:$W$14</c15:sqref>
                  </c15:fullRef>
                </c:ext>
              </c:extLst>
              <c:f>'La junta'!$W$3:$W$7</c:f>
              <c:numCache>
                <c:formatCode>h:mm</c:formatCode>
                <c:ptCount val="5"/>
                <c:pt idx="0">
                  <c:v>0.33333333333333331</c:v>
                </c:pt>
                <c:pt idx="1">
                  <c:v>0.33333333333333331</c:v>
                </c:pt>
                <c:pt idx="2">
                  <c:v>0.33333333333333331</c:v>
                </c:pt>
                <c:pt idx="3">
                  <c:v>0.33333333333333331</c:v>
                </c:pt>
                <c:pt idx="4">
                  <c:v>0.33333333333333331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A57-4795-99FB-E6DC4241DC57}"/>
            </c:ext>
          </c:extLst>
        </c:ser>
        <c:ser>
          <c:idx val="6"/>
          <c:order val="8"/>
          <c:tx>
            <c:strRef>
              <c:f>'La junta'!$X$2</c:f>
              <c:strCache>
                <c:ptCount val="1"/>
                <c:pt idx="0">
                  <c:v>2. Salida de instalación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'La junta'!$N$3:$N$7</c15:sqref>
                  </c15:fullRef>
                </c:ext>
              </c:extLst>
              <c:f>'La junta'!$N$3:$N$7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'La junta'!$X$3:$X$14</c15:sqref>
                  </c15:fullRef>
                </c:ext>
              </c:extLst>
              <c:f>'La junta'!$X$3:$X$7</c:f>
              <c:numCache>
                <c:formatCode>h:mm</c:formatCode>
                <c:ptCount val="5"/>
                <c:pt idx="0">
                  <c:v>0.35416666666666669</c:v>
                </c:pt>
                <c:pt idx="1">
                  <c:v>0.35416666666666669</c:v>
                </c:pt>
                <c:pt idx="2">
                  <c:v>0.35416666666666669</c:v>
                </c:pt>
                <c:pt idx="3">
                  <c:v>0.35416666666666669</c:v>
                </c:pt>
                <c:pt idx="4">
                  <c:v>0.35416666666666669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A57-4795-99FB-E6DC4241DC57}"/>
            </c:ext>
          </c:extLst>
        </c:ser>
        <c:ser>
          <c:idx val="7"/>
          <c:order val="9"/>
          <c:tx>
            <c:strRef>
              <c:f>'La junta'!$Y$2</c:f>
              <c:strCache>
                <c:ptCount val="1"/>
                <c:pt idx="0">
                  <c:v>3. Inicio de actividades AM</c:v>
                </c:pt>
              </c:strCache>
            </c:strRef>
          </c:tx>
          <c:spPr>
            <a:ln w="508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'La junta'!$N$3:$N$7</c15:sqref>
                  </c15:fullRef>
                </c:ext>
              </c:extLst>
              <c:f>'La junta'!$N$3:$N$7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'La junta'!$Y$3:$Y$14</c15:sqref>
                  </c15:fullRef>
                </c:ext>
              </c:extLst>
              <c:f>'La junta'!$Y$3:$Y$7</c:f>
              <c:numCache>
                <c:formatCode>h:mm</c:formatCode>
                <c:ptCount val="5"/>
                <c:pt idx="0">
                  <c:v>0.375</c:v>
                </c:pt>
                <c:pt idx="1">
                  <c:v>0.375</c:v>
                </c:pt>
                <c:pt idx="2">
                  <c:v>0.375</c:v>
                </c:pt>
                <c:pt idx="3">
                  <c:v>0.375</c:v>
                </c:pt>
                <c:pt idx="4">
                  <c:v>0.375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A57-4795-99FB-E6DC4241DC57}"/>
            </c:ext>
          </c:extLst>
        </c:ser>
        <c:ser>
          <c:idx val="8"/>
          <c:order val="10"/>
          <c:tx>
            <c:strRef>
              <c:f>'La junta'!$Z$2</c:f>
              <c:strCache>
                <c:ptCount val="1"/>
                <c:pt idx="0">
                  <c:v>4. Término de actividades AM</c:v>
                </c:pt>
              </c:strCache>
            </c:strRef>
          </c:tx>
          <c:spPr>
            <a:ln w="508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'La junta'!$N$3:$N$7</c15:sqref>
                  </c15:fullRef>
                </c:ext>
              </c:extLst>
              <c:f>'La junta'!$N$3:$N$7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'La junta'!$Z$3:$Z$14</c15:sqref>
                  </c15:fullRef>
                </c:ext>
              </c:extLst>
              <c:f>'La junta'!$Z$3:$Z$7</c:f>
              <c:numCache>
                <c:formatCode>h:mm</c:formatCode>
                <c:ptCount val="5"/>
                <c:pt idx="0">
                  <c:v>0.59375</c:v>
                </c:pt>
                <c:pt idx="1">
                  <c:v>0.59375</c:v>
                </c:pt>
                <c:pt idx="2">
                  <c:v>0.59375</c:v>
                </c:pt>
                <c:pt idx="3">
                  <c:v>0.59375</c:v>
                </c:pt>
                <c:pt idx="4">
                  <c:v>0.59375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A57-4795-99FB-E6DC4241DC57}"/>
            </c:ext>
          </c:extLst>
        </c:ser>
        <c:ser>
          <c:idx val="10"/>
          <c:order val="11"/>
          <c:tx>
            <c:strRef>
              <c:f>'La junta'!$AA$2</c:f>
              <c:strCache>
                <c:ptCount val="1"/>
                <c:pt idx="0">
                  <c:v>5. Almuerzo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'La junta'!$N$3:$N$7</c15:sqref>
                  </c15:fullRef>
                </c:ext>
              </c:extLst>
              <c:f>'La junta'!$N$3:$N$7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'La junta'!$AA$3:$AA$7</c15:sqref>
                  </c15:fullRef>
                </c:ext>
              </c:extLst>
              <c:f>'La junta'!$AA$3:$AA$7</c:f>
              <c:numCache>
                <c:formatCode>h:mm</c:formatCode>
                <c:ptCount val="5"/>
                <c:pt idx="0">
                  <c:v>0.61458333333333337</c:v>
                </c:pt>
                <c:pt idx="1">
                  <c:v>0.61458333333333337</c:v>
                </c:pt>
                <c:pt idx="2">
                  <c:v>0.61458333333333337</c:v>
                </c:pt>
                <c:pt idx="3">
                  <c:v>0.61458333333333337</c:v>
                </c:pt>
                <c:pt idx="4">
                  <c:v>0.61458333333333337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9D-4175-B618-9350432A1323}"/>
            </c:ext>
          </c:extLst>
        </c:ser>
        <c:ser>
          <c:idx val="14"/>
          <c:order val="12"/>
          <c:tx>
            <c:strRef>
              <c:f>'La junta'!$AB$2</c:f>
              <c:strCache>
                <c:ptCount val="1"/>
                <c:pt idx="0">
                  <c:v>6. Inicio Actividades PM</c:v>
                </c:pt>
              </c:strCache>
            </c:strRef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'La junta'!$N$3:$N$7</c15:sqref>
                  </c15:fullRef>
                </c:ext>
              </c:extLst>
              <c:f>'La junta'!$N$3:$N$7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'La junta'!$AB$3:$AB$14</c15:sqref>
                  </c15:fullRef>
                </c:ext>
              </c:extLst>
              <c:f>'La junta'!$AB$3:$AB$7</c:f>
              <c:numCache>
                <c:formatCode>h:mm</c:formatCode>
                <c:ptCount val="5"/>
                <c:pt idx="0">
                  <c:v>0.63541666666666663</c:v>
                </c:pt>
                <c:pt idx="1">
                  <c:v>0.63541666666666663</c:v>
                </c:pt>
                <c:pt idx="2">
                  <c:v>0.63541666666666663</c:v>
                </c:pt>
                <c:pt idx="3">
                  <c:v>0.63541666666666663</c:v>
                </c:pt>
                <c:pt idx="4">
                  <c:v>0.63541666666666663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A57-4795-99FB-E6DC4241DC57}"/>
            </c:ext>
          </c:extLst>
        </c:ser>
        <c:ser>
          <c:idx val="19"/>
          <c:order val="13"/>
          <c:tx>
            <c:strRef>
              <c:f>'La junta'!$AC$2</c:f>
              <c:strCache>
                <c:ptCount val="1"/>
                <c:pt idx="0">
                  <c:v>7. término Actividades PM</c:v>
                </c:pt>
              </c:strCache>
            </c:strRef>
          </c:tx>
          <c:spPr>
            <a:ln w="5080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'La junta'!$N$3:$N$7</c15:sqref>
                  </c15:fullRef>
                </c:ext>
              </c:extLst>
              <c:f>'La junta'!$N$3:$N$7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'La junta'!$AC$3:$AC$14</c15:sqref>
                  </c15:fullRef>
                </c:ext>
              </c:extLst>
              <c:f>'La junta'!$AC$3:$AC$7</c:f>
              <c:numCache>
                <c:formatCode>h:mm</c:formatCode>
                <c:ptCount val="5"/>
                <c:pt idx="0">
                  <c:v>0.66666666666666663</c:v>
                </c:pt>
                <c:pt idx="1">
                  <c:v>0.66666666666666663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21-40B8-A725-E65B89899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0022408"/>
        <c:axId val="620014176"/>
      </c:lineChart>
      <c:catAx>
        <c:axId val="620022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0795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20016528"/>
        <c:crossesAt val="0"/>
        <c:auto val="1"/>
        <c:lblAlgn val="ctr"/>
        <c:lblOffset val="60"/>
        <c:noMultiLvlLbl val="0"/>
      </c:catAx>
      <c:valAx>
        <c:axId val="620016528"/>
        <c:scaling>
          <c:orientation val="minMax"/>
          <c:max val="0.66800000000000015"/>
          <c:min val="0.33400000000000007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200"/>
                  <a:t>horario turno [h]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20022800"/>
        <c:crosses val="autoZero"/>
        <c:crossBetween val="between"/>
        <c:majorUnit val="4.1600000000000012E-2"/>
        <c:minorUnit val="8.3300000000000023E-3"/>
      </c:valAx>
      <c:valAx>
        <c:axId val="620014176"/>
        <c:scaling>
          <c:orientation val="minMax"/>
          <c:max val="0.68000000000000016"/>
          <c:min val="0.33400000000000007"/>
        </c:scaling>
        <c:delete val="0"/>
        <c:axPos val="r"/>
        <c:numFmt formatCode="h:mm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20022408"/>
        <c:crosses val="max"/>
        <c:crossBetween val="between"/>
        <c:majorUnit val="4.1600000000000012E-2"/>
      </c:valAx>
      <c:catAx>
        <c:axId val="6200224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20014176"/>
        <c:crosses val="autoZero"/>
        <c:auto val="1"/>
        <c:lblAlgn val="ctr"/>
        <c:lblOffset val="100"/>
        <c:noMultiLvlLbl val="0"/>
      </c:catAx>
      <c:spPr>
        <a:solidFill>
          <a:schemeClr val="bg1">
            <a:lumMod val="95000"/>
          </a:schemeClr>
        </a:solidFill>
        <a:ln w="180975"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r"/>
      <c:legendEntry>
        <c:idx val="6"/>
        <c:delete val="1"/>
      </c:legendEntry>
      <c:layout>
        <c:manualLayout>
          <c:xMode val="edge"/>
          <c:yMode val="edge"/>
          <c:x val="0.73396349538586303"/>
          <c:y val="4.2363227223204618E-2"/>
          <c:w val="0.25679428938626514"/>
          <c:h val="0.59664325885599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aseline="0">
          <a:solidFill>
            <a:schemeClr val="tx1"/>
          </a:solidFill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726410731206414E-2"/>
          <c:y val="8.2674658492563419E-2"/>
          <c:w val="0.63174794686316249"/>
          <c:h val="0.8138606934262402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AC!$P$2</c:f>
              <c:strCache>
                <c:ptCount val="1"/>
                <c:pt idx="0">
                  <c:v>Llegada a instalación</c:v>
                </c:pt>
              </c:strCache>
            </c:strRef>
          </c:tx>
          <c:spPr>
            <a:solidFill>
              <a:schemeClr val="bg1"/>
            </a:solidFill>
            <a:ln w="0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AC!$M$3:$N$7</c15:sqref>
                  </c15:fullRef>
                </c:ext>
              </c:extLst>
              <c:f>AC!$M$3:$N$7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AC!$P$3:$P$7</c15:sqref>
                  </c15:fullRef>
                </c:ext>
              </c:extLst>
              <c:f>AC!$P$3:$P$7</c:f>
              <c:numCache>
                <c:formatCode>h:mm</c:formatCode>
                <c:ptCount val="5"/>
                <c:pt idx="0">
                  <c:v>0.30902777777777779</c:v>
                </c:pt>
                <c:pt idx="1">
                  <c:v>0.3125</c:v>
                </c:pt>
                <c:pt idx="2">
                  <c:v>0.3125</c:v>
                </c:pt>
                <c:pt idx="3">
                  <c:v>0.3125</c:v>
                </c:pt>
                <c:pt idx="4">
                  <c:v>0.31597222222222221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7-4795-99FB-E6DC4241DC57}"/>
            </c:ext>
          </c:extLst>
        </c:ser>
        <c:ser>
          <c:idx val="1"/>
          <c:order val="1"/>
          <c:tx>
            <c:strRef>
              <c:f>AC!$Q$2</c:f>
              <c:strCache>
                <c:ptCount val="1"/>
                <c:pt idx="0">
                  <c:v>Tiempo en instalación 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AC!$M$3:$N$7</c15:sqref>
                  </c15:fullRef>
                </c:ext>
              </c:extLst>
              <c:f>AC!$M$3:$N$7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AC!$Q$3:$Q$7</c15:sqref>
                  </c15:fullRef>
                </c:ext>
              </c:extLst>
              <c:f>AC!$Q$3:$Q$7</c:f>
              <c:numCache>
                <c:formatCode>h:mm</c:formatCode>
                <c:ptCount val="5"/>
                <c:pt idx="0">
                  <c:v>2.0833333333333315E-2</c:v>
                </c:pt>
                <c:pt idx="1">
                  <c:v>1.3888888888888895E-2</c:v>
                </c:pt>
                <c:pt idx="2">
                  <c:v>2.7777777777777735E-2</c:v>
                </c:pt>
                <c:pt idx="3">
                  <c:v>1.3888888888888895E-2</c:v>
                </c:pt>
                <c:pt idx="4">
                  <c:v>2.083333333333337E-2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57-4795-99FB-E6DC4241DC57}"/>
            </c:ext>
          </c:extLst>
        </c:ser>
        <c:ser>
          <c:idx val="2"/>
          <c:order val="2"/>
          <c:tx>
            <c:strRef>
              <c:f>AC!$R$2</c:f>
              <c:strCache>
                <c:ptCount val="1"/>
                <c:pt idx="0">
                  <c:v>Traslado a postura </c:v>
                </c:pt>
              </c:strCache>
            </c:strRef>
          </c:tx>
          <c:spPr>
            <a:solidFill>
              <a:srgbClr val="FF0000"/>
            </a:solidFill>
            <a:ln cap="sq" cmpd="sng"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AC!$M$3:$N$7</c15:sqref>
                  </c15:fullRef>
                </c:ext>
              </c:extLst>
              <c:f>AC!$M$3:$N$7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AC!$R$3:$R$7</c15:sqref>
                  </c15:fullRef>
                </c:ext>
              </c:extLst>
              <c:f>AC!$R$3:$R$7</c:f>
              <c:numCache>
                <c:formatCode>h:mm</c:formatCode>
                <c:ptCount val="5"/>
                <c:pt idx="0">
                  <c:v>2.777777777777779E-2</c:v>
                </c:pt>
                <c:pt idx="1">
                  <c:v>3.472222222222221E-2</c:v>
                </c:pt>
                <c:pt idx="2">
                  <c:v>1.736111111111116E-2</c:v>
                </c:pt>
                <c:pt idx="3">
                  <c:v>2.6388888888888906E-2</c:v>
                </c:pt>
                <c:pt idx="4">
                  <c:v>3.125E-2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57-4795-99FB-E6DC4241DC57}"/>
            </c:ext>
          </c:extLst>
        </c:ser>
        <c:ser>
          <c:idx val="3"/>
          <c:order val="3"/>
          <c:tx>
            <c:strRef>
              <c:f>AC!$S$2</c:f>
              <c:strCache>
                <c:ptCount val="1"/>
                <c:pt idx="0">
                  <c:v>Tiempo disponible AM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AC!$M$3:$N$7</c15:sqref>
                  </c15:fullRef>
                </c:ext>
              </c:extLst>
              <c:f>AC!$M$3:$N$7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AC!$S$3:$S$7</c15:sqref>
                  </c15:fullRef>
                </c:ext>
              </c:extLst>
              <c:f>AC!$S$3:$S$7</c:f>
              <c:numCache>
                <c:formatCode>h:mm</c:formatCode>
                <c:ptCount val="5"/>
                <c:pt idx="0">
                  <c:v>0.1736111111111111</c:v>
                </c:pt>
                <c:pt idx="1">
                  <c:v>0.16319444444444448</c:v>
                </c:pt>
                <c:pt idx="2">
                  <c:v>0.22569444444444448</c:v>
                </c:pt>
                <c:pt idx="3">
                  <c:v>0.18541666666666662</c:v>
                </c:pt>
                <c:pt idx="4">
                  <c:v>0.14930555555555547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57-4795-99FB-E6DC4241DC57}"/>
            </c:ext>
          </c:extLst>
        </c:ser>
        <c:ser>
          <c:idx val="9"/>
          <c:order val="4"/>
          <c:tx>
            <c:strRef>
              <c:f>AC!$T$2</c:f>
              <c:strCache>
                <c:ptCount val="1"/>
                <c:pt idx="0">
                  <c:v>Traslado Colación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AC!$M$3:$N$7</c15:sqref>
                  </c15:fullRef>
                </c:ext>
              </c:extLst>
              <c:f>AC!$M$3:$N$7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AC!$T$3:$T$7</c15:sqref>
                  </c15:fullRef>
                </c:ext>
              </c:extLst>
              <c:f>AC!$T$3:$T$7</c:f>
              <c:numCache>
                <c:formatCode>h:mm</c:formatCode>
                <c:ptCount val="5"/>
                <c:pt idx="0">
                  <c:v>1.041666666666663E-2</c:v>
                </c:pt>
                <c:pt idx="1">
                  <c:v>6.9444444444444198E-3</c:v>
                </c:pt>
                <c:pt idx="2">
                  <c:v>6.9444444444444198E-3</c:v>
                </c:pt>
                <c:pt idx="3">
                  <c:v>6.9444444444445308E-3</c:v>
                </c:pt>
                <c:pt idx="4">
                  <c:v>1.3888888888888951E-2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9D-4175-B618-9350432A1323}"/>
            </c:ext>
          </c:extLst>
        </c:ser>
        <c:ser>
          <c:idx val="4"/>
          <c:order val="5"/>
          <c:tx>
            <c:strRef>
              <c:f>'TTE 6 '!$U$2</c:f>
              <c:strCache>
                <c:ptCount val="1"/>
                <c:pt idx="0">
                  <c:v>Almuerzo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AC!$M$3:$N$7</c15:sqref>
                  </c15:fullRef>
                </c:ext>
              </c:extLst>
              <c:f>AC!$M$3:$N$7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AC!$U$3:$U$7</c15:sqref>
                  </c15:fullRef>
                </c:ext>
              </c:extLst>
              <c:f>AC!$U$3:$U$7</c:f>
              <c:numCache>
                <c:formatCode>h:mm</c:formatCode>
                <c:ptCount val="5"/>
                <c:pt idx="0">
                  <c:v>2.777777777777779E-2</c:v>
                </c:pt>
                <c:pt idx="1">
                  <c:v>2.430555555555558E-2</c:v>
                </c:pt>
                <c:pt idx="2">
                  <c:v>2.430555555555558E-2</c:v>
                </c:pt>
                <c:pt idx="3">
                  <c:v>2.4305555555555469E-2</c:v>
                </c:pt>
                <c:pt idx="4">
                  <c:v>2.083333333333337E-2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57-4795-99FB-E6DC4241DC57}"/>
            </c:ext>
          </c:extLst>
        </c:ser>
        <c:ser>
          <c:idx val="12"/>
          <c:order val="6"/>
          <c:tx>
            <c:strRef>
              <c:f>'TTE 6 '!$V$2</c:f>
              <c:strCache>
                <c:ptCount val="1"/>
                <c:pt idx="0">
                  <c:v>Tiempo disponible PM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AC!$M$3:$N$7</c15:sqref>
                  </c15:fullRef>
                </c:ext>
              </c:extLst>
              <c:f>AC!$M$3:$N$7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AC!$V$3:$V$7</c15:sqref>
                  </c15:fullRef>
                </c:ext>
              </c:extLst>
              <c:f>AC!$V$3:$V$7</c:f>
              <c:numCache>
                <c:formatCode>h:mm</c:formatCode>
                <c:ptCount val="5"/>
                <c:pt idx="0">
                  <c:v>8.333333333333337E-2</c:v>
                </c:pt>
                <c:pt idx="1">
                  <c:v>0.10416666666666663</c:v>
                </c:pt>
                <c:pt idx="2">
                  <c:v>4.166666666666663E-2</c:v>
                </c:pt>
                <c:pt idx="3">
                  <c:v>8.680555555555558E-2</c:v>
                </c:pt>
                <c:pt idx="4">
                  <c:v>0.10069444444444442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57-4795-99FB-E6DC4241D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666000968"/>
        <c:axId val="666000576"/>
      </c:barChart>
      <c:lineChart>
        <c:grouping val="standard"/>
        <c:varyColors val="0"/>
        <c:ser>
          <c:idx val="5"/>
          <c:order val="7"/>
          <c:tx>
            <c:strRef>
              <c:f>AC!$W$2</c:f>
              <c:strCache>
                <c:ptCount val="1"/>
                <c:pt idx="0">
                  <c:v>1. Llegada a instalación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AC!$N$3:$N$7</c15:sqref>
                  </c15:fullRef>
                </c:ext>
              </c:extLst>
              <c:f>AC!$N$3:$N$7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AC!$W$3:$W$14</c15:sqref>
                  </c15:fullRef>
                </c:ext>
              </c:extLst>
              <c:f>AC!$W$3:$W$7</c:f>
              <c:numCache>
                <c:formatCode>h:mm</c:formatCode>
                <c:ptCount val="5"/>
                <c:pt idx="0">
                  <c:v>0.33333333333333331</c:v>
                </c:pt>
                <c:pt idx="1">
                  <c:v>0.33333333333333331</c:v>
                </c:pt>
                <c:pt idx="2">
                  <c:v>0.33333333333333331</c:v>
                </c:pt>
                <c:pt idx="3">
                  <c:v>0.33333333333333331</c:v>
                </c:pt>
                <c:pt idx="4">
                  <c:v>0.33333333333333331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A57-4795-99FB-E6DC4241DC57}"/>
            </c:ext>
          </c:extLst>
        </c:ser>
        <c:ser>
          <c:idx val="6"/>
          <c:order val="8"/>
          <c:tx>
            <c:strRef>
              <c:f>AC!$X$2</c:f>
              <c:strCache>
                <c:ptCount val="1"/>
                <c:pt idx="0">
                  <c:v>2. Salida de instalación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AC!$N$3:$N$7</c15:sqref>
                  </c15:fullRef>
                </c:ext>
              </c:extLst>
              <c:f>AC!$N$3:$N$7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AC!$X$3:$X$14</c15:sqref>
                  </c15:fullRef>
                </c:ext>
              </c:extLst>
              <c:f>AC!$X$3:$X$7</c:f>
              <c:numCache>
                <c:formatCode>h:mm</c:formatCode>
                <c:ptCount val="5"/>
                <c:pt idx="0">
                  <c:v>0.35416666666666669</c:v>
                </c:pt>
                <c:pt idx="1">
                  <c:v>0.35416666666666669</c:v>
                </c:pt>
                <c:pt idx="2">
                  <c:v>0.35416666666666669</c:v>
                </c:pt>
                <c:pt idx="3">
                  <c:v>0.35416666666666669</c:v>
                </c:pt>
                <c:pt idx="4">
                  <c:v>0.35416666666666669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A57-4795-99FB-E6DC4241DC57}"/>
            </c:ext>
          </c:extLst>
        </c:ser>
        <c:ser>
          <c:idx val="7"/>
          <c:order val="9"/>
          <c:tx>
            <c:strRef>
              <c:f>'TTE 6 '!$Y$2</c:f>
              <c:strCache>
                <c:ptCount val="1"/>
                <c:pt idx="0">
                  <c:v>3. Inicio de actividades AM</c:v>
                </c:pt>
              </c:strCache>
            </c:strRef>
          </c:tx>
          <c:spPr>
            <a:ln w="508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AC!$N$3:$N$7</c15:sqref>
                  </c15:fullRef>
                </c:ext>
              </c:extLst>
              <c:f>AC!$N$3:$N$7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AC!$Y$3:$Y$14</c15:sqref>
                  </c15:fullRef>
                </c:ext>
              </c:extLst>
              <c:f>AC!$Y$3:$Y$7</c:f>
              <c:numCache>
                <c:formatCode>h:mm</c:formatCode>
                <c:ptCount val="5"/>
                <c:pt idx="0">
                  <c:v>0.375</c:v>
                </c:pt>
                <c:pt idx="1">
                  <c:v>0.375</c:v>
                </c:pt>
                <c:pt idx="2">
                  <c:v>0.375</c:v>
                </c:pt>
                <c:pt idx="3">
                  <c:v>0.375</c:v>
                </c:pt>
                <c:pt idx="4">
                  <c:v>0.375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A57-4795-99FB-E6DC4241DC57}"/>
            </c:ext>
          </c:extLst>
        </c:ser>
        <c:ser>
          <c:idx val="8"/>
          <c:order val="10"/>
          <c:tx>
            <c:strRef>
              <c:f>AC!$Z$2</c:f>
              <c:strCache>
                <c:ptCount val="1"/>
                <c:pt idx="0">
                  <c:v>4. Término de actividades AM</c:v>
                </c:pt>
              </c:strCache>
            </c:strRef>
          </c:tx>
          <c:spPr>
            <a:ln w="508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AC!$N$3:$N$7</c15:sqref>
                  </c15:fullRef>
                </c:ext>
              </c:extLst>
              <c:f>AC!$N$3:$N$7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AC!$Z$3:$Z$14</c15:sqref>
                  </c15:fullRef>
                </c:ext>
              </c:extLst>
              <c:f>AC!$Z$3:$Z$7</c:f>
              <c:numCache>
                <c:formatCode>h:mm</c:formatCode>
                <c:ptCount val="5"/>
                <c:pt idx="0">
                  <c:v>0.59375</c:v>
                </c:pt>
                <c:pt idx="1">
                  <c:v>0.59375</c:v>
                </c:pt>
                <c:pt idx="2">
                  <c:v>0.59375</c:v>
                </c:pt>
                <c:pt idx="3">
                  <c:v>0.59375</c:v>
                </c:pt>
                <c:pt idx="4">
                  <c:v>0.59375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A57-4795-99FB-E6DC4241DC57}"/>
            </c:ext>
          </c:extLst>
        </c:ser>
        <c:ser>
          <c:idx val="10"/>
          <c:order val="11"/>
          <c:tx>
            <c:strRef>
              <c:f>AC!$AA$2</c:f>
              <c:strCache>
                <c:ptCount val="1"/>
                <c:pt idx="0">
                  <c:v>5. Almuerzo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AC!$N$3:$N$7</c15:sqref>
                  </c15:fullRef>
                </c:ext>
              </c:extLst>
              <c:f>AC!$N$3:$N$7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AC!$AA$3:$AA$7</c15:sqref>
                  </c15:fullRef>
                </c:ext>
              </c:extLst>
              <c:f>AC!$AA$3:$AA$7</c:f>
              <c:numCache>
                <c:formatCode>h:mm</c:formatCode>
                <c:ptCount val="5"/>
                <c:pt idx="0">
                  <c:v>0.61458333333333337</c:v>
                </c:pt>
                <c:pt idx="1">
                  <c:v>0.61458333333333337</c:v>
                </c:pt>
                <c:pt idx="2">
                  <c:v>0.61458333333333337</c:v>
                </c:pt>
                <c:pt idx="3">
                  <c:v>0.61458333333333337</c:v>
                </c:pt>
                <c:pt idx="4">
                  <c:v>0.61458333333333337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9D-4175-B618-9350432A1323}"/>
            </c:ext>
          </c:extLst>
        </c:ser>
        <c:ser>
          <c:idx val="14"/>
          <c:order val="12"/>
          <c:tx>
            <c:strRef>
              <c:f>AC!$AB$2</c:f>
              <c:strCache>
                <c:ptCount val="1"/>
                <c:pt idx="0">
                  <c:v>6. Inicio Actividades PM</c:v>
                </c:pt>
              </c:strCache>
            </c:strRef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AC!$N$3:$N$7</c15:sqref>
                  </c15:fullRef>
                </c:ext>
              </c:extLst>
              <c:f>AC!$N$3:$N$7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AC!$AB$3:$AB$14</c15:sqref>
                  </c15:fullRef>
                </c:ext>
              </c:extLst>
              <c:f>AC!$AB$3:$AB$7</c:f>
              <c:numCache>
                <c:formatCode>h:mm</c:formatCode>
                <c:ptCount val="5"/>
                <c:pt idx="0">
                  <c:v>0.63541666666666663</c:v>
                </c:pt>
                <c:pt idx="1">
                  <c:v>0.63541666666666663</c:v>
                </c:pt>
                <c:pt idx="2">
                  <c:v>0.63541666666666663</c:v>
                </c:pt>
                <c:pt idx="3">
                  <c:v>0.63541666666666663</c:v>
                </c:pt>
                <c:pt idx="4">
                  <c:v>0.63541666666666663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A57-4795-99FB-E6DC4241DC57}"/>
            </c:ext>
          </c:extLst>
        </c:ser>
        <c:ser>
          <c:idx val="19"/>
          <c:order val="13"/>
          <c:tx>
            <c:strRef>
              <c:f>AC!$AC$2</c:f>
              <c:strCache>
                <c:ptCount val="1"/>
                <c:pt idx="0">
                  <c:v>7. término Actividades PM</c:v>
                </c:pt>
              </c:strCache>
            </c:strRef>
          </c:tx>
          <c:spPr>
            <a:ln w="5080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AC!$N$3:$N$7</c15:sqref>
                  </c15:fullRef>
                </c:ext>
              </c:extLst>
              <c:f>AC!$N$3:$N$7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AC!$AC$3:$AC$14</c15:sqref>
                  </c15:fullRef>
                </c:ext>
              </c:extLst>
              <c:f>AC!$AC$3:$AC$7</c:f>
              <c:numCache>
                <c:formatCode>h:mm</c:formatCode>
                <c:ptCount val="5"/>
                <c:pt idx="0">
                  <c:v>0.66666666666666663</c:v>
                </c:pt>
                <c:pt idx="1">
                  <c:v>0.66666666666666663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21-40B8-A725-E65B89899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0017312"/>
        <c:axId val="666002928"/>
      </c:lineChart>
      <c:catAx>
        <c:axId val="666000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0795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66000576"/>
        <c:crossesAt val="0"/>
        <c:auto val="1"/>
        <c:lblAlgn val="ctr"/>
        <c:lblOffset val="60"/>
        <c:noMultiLvlLbl val="0"/>
      </c:catAx>
      <c:valAx>
        <c:axId val="666000576"/>
        <c:scaling>
          <c:orientation val="minMax"/>
          <c:max val="0.66800000000000015"/>
          <c:min val="0.33400000000000007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200"/>
                  <a:t>horario turno [h]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66000968"/>
        <c:crosses val="autoZero"/>
        <c:crossBetween val="between"/>
        <c:majorUnit val="4.1600000000000012E-2"/>
        <c:minorUnit val="8.3300000000000023E-3"/>
      </c:valAx>
      <c:valAx>
        <c:axId val="666002928"/>
        <c:scaling>
          <c:orientation val="minMax"/>
          <c:max val="1"/>
          <c:min val="0.66800000000000015"/>
        </c:scaling>
        <c:delete val="0"/>
        <c:axPos val="r"/>
        <c:numFmt formatCode="h:mm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20017312"/>
        <c:crosses val="max"/>
        <c:crossBetween val="between"/>
        <c:majorUnit val="4.1600000000000012E-2"/>
      </c:valAx>
      <c:catAx>
        <c:axId val="6200173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66002928"/>
        <c:crosses val="autoZero"/>
        <c:auto val="1"/>
        <c:lblAlgn val="ctr"/>
        <c:lblOffset val="100"/>
        <c:noMultiLvlLbl val="0"/>
      </c:catAx>
      <c:spPr>
        <a:solidFill>
          <a:schemeClr val="bg1">
            <a:lumMod val="95000"/>
          </a:schemeClr>
        </a:solidFill>
        <a:ln w="180975"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r"/>
      <c:legendEntry>
        <c:idx val="6"/>
        <c:delete val="1"/>
      </c:legendEntry>
      <c:layout>
        <c:manualLayout>
          <c:xMode val="edge"/>
          <c:yMode val="edge"/>
          <c:x val="0.73396349538586303"/>
          <c:y val="4.2363227223204618E-2"/>
          <c:w val="0.25679428938626514"/>
          <c:h val="0.59664325885599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aseline="0">
          <a:solidFill>
            <a:schemeClr val="tx1"/>
          </a:solidFill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726410731206414E-2"/>
          <c:y val="6.881279470553453E-2"/>
          <c:w val="0.63174794686316249"/>
          <c:h val="0.827722525675281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Colec!$P$2</c:f>
              <c:strCache>
                <c:ptCount val="1"/>
                <c:pt idx="0">
                  <c:v>Llegada a instalación</c:v>
                </c:pt>
              </c:strCache>
            </c:strRef>
          </c:tx>
          <c:spPr>
            <a:solidFill>
              <a:schemeClr val="bg1"/>
            </a:solidFill>
            <a:ln w="0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Colec!$M$3:$N$7</c15:sqref>
                  </c15:fullRef>
                </c:ext>
              </c:extLst>
              <c:f>Colec!$M$3:$N$7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Colec!$P$3:$P$7</c15:sqref>
                  </c15:fullRef>
                </c:ext>
              </c:extLst>
              <c:f>Colec!$P$3:$P$7</c:f>
              <c:numCache>
                <c:formatCode>h:mm</c:formatCode>
                <c:ptCount val="5"/>
                <c:pt idx="0">
                  <c:v>0.64583333333333337</c:v>
                </c:pt>
                <c:pt idx="1">
                  <c:v>0.64583333333333337</c:v>
                </c:pt>
                <c:pt idx="2">
                  <c:v>0.64583333333333337</c:v>
                </c:pt>
                <c:pt idx="3">
                  <c:v>0.64583333333333337</c:v>
                </c:pt>
                <c:pt idx="4">
                  <c:v>0.64583333333333337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7-4795-99FB-E6DC4241DC57}"/>
            </c:ext>
          </c:extLst>
        </c:ser>
        <c:ser>
          <c:idx val="1"/>
          <c:order val="1"/>
          <c:tx>
            <c:strRef>
              <c:f>Colec!$Q$2</c:f>
              <c:strCache>
                <c:ptCount val="1"/>
                <c:pt idx="0">
                  <c:v>Tiempo en instalación 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Colec!$M$3:$N$7</c15:sqref>
                  </c15:fullRef>
                </c:ext>
              </c:extLst>
              <c:f>Colec!$M$3:$N$7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Colec!$Q$3:$Q$7</c15:sqref>
                  </c15:fullRef>
                </c:ext>
              </c:extLst>
              <c:f>Colec!$Q$3:$Q$7</c:f>
              <c:numCache>
                <c:formatCode>h:mm</c:formatCode>
                <c:ptCount val="5"/>
                <c:pt idx="0">
                  <c:v>2.777777777777779E-2</c:v>
                </c:pt>
                <c:pt idx="1">
                  <c:v>2.4305555555555469E-2</c:v>
                </c:pt>
                <c:pt idx="2">
                  <c:v>2.777777777777779E-2</c:v>
                </c:pt>
                <c:pt idx="3">
                  <c:v>2.4305555555555469E-2</c:v>
                </c:pt>
                <c:pt idx="4">
                  <c:v>2.4305555555555469E-2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57-4795-99FB-E6DC4241DC57}"/>
            </c:ext>
          </c:extLst>
        </c:ser>
        <c:ser>
          <c:idx val="2"/>
          <c:order val="2"/>
          <c:tx>
            <c:strRef>
              <c:f>Colec!$R$2</c:f>
              <c:strCache>
                <c:ptCount val="1"/>
                <c:pt idx="0">
                  <c:v>Traslado a postura </c:v>
                </c:pt>
              </c:strCache>
            </c:strRef>
          </c:tx>
          <c:spPr>
            <a:solidFill>
              <a:srgbClr val="FF0000"/>
            </a:solidFill>
            <a:ln cap="sq" cmpd="sng"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Colec!$M$3:$N$7</c15:sqref>
                  </c15:fullRef>
                </c:ext>
              </c:extLst>
              <c:f>Colec!$M$3:$N$7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Colec!$R$3:$R$7</c15:sqref>
                  </c15:fullRef>
                </c:ext>
              </c:extLst>
              <c:f>Colec!$R$3:$R$7</c:f>
              <c:numCache>
                <c:formatCode>h:mm</c:formatCode>
                <c:ptCount val="5"/>
                <c:pt idx="0">
                  <c:v>3.125E-2</c:v>
                </c:pt>
                <c:pt idx="1">
                  <c:v>1.6666666666666718E-2</c:v>
                </c:pt>
                <c:pt idx="2">
                  <c:v>8.3333333333333037E-3</c:v>
                </c:pt>
                <c:pt idx="3">
                  <c:v>1.3888888888888951E-2</c:v>
                </c:pt>
                <c:pt idx="4">
                  <c:v>1.736111111111116E-2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57-4795-99FB-E6DC4241DC57}"/>
            </c:ext>
          </c:extLst>
        </c:ser>
        <c:ser>
          <c:idx val="3"/>
          <c:order val="3"/>
          <c:tx>
            <c:strRef>
              <c:f>Colec!$S$2</c:f>
              <c:strCache>
                <c:ptCount val="1"/>
                <c:pt idx="0">
                  <c:v>Tiempo disponible AM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Colec!$M$3:$N$7</c15:sqref>
                  </c15:fullRef>
                </c:ext>
              </c:extLst>
              <c:f>Colec!$M$3:$N$7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Colec!$S$3:$S$7</c15:sqref>
                  </c15:fullRef>
                </c:ext>
              </c:extLst>
              <c:f>Colec!$S$3:$S$7</c:f>
              <c:numCache>
                <c:formatCode>h:mm</c:formatCode>
                <c:ptCount val="5"/>
                <c:pt idx="0">
                  <c:v>0.12847222222222221</c:v>
                </c:pt>
                <c:pt idx="1">
                  <c:v>0.12569444444444444</c:v>
                </c:pt>
                <c:pt idx="2">
                  <c:v>0.15138888888888891</c:v>
                </c:pt>
                <c:pt idx="3">
                  <c:v>0.12847222222222221</c:v>
                </c:pt>
                <c:pt idx="4">
                  <c:v>0.14583333333333337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57-4795-99FB-E6DC4241DC57}"/>
            </c:ext>
          </c:extLst>
        </c:ser>
        <c:ser>
          <c:idx val="9"/>
          <c:order val="4"/>
          <c:tx>
            <c:strRef>
              <c:f>Colec!$T$2</c:f>
              <c:strCache>
                <c:ptCount val="1"/>
                <c:pt idx="0">
                  <c:v>Traslado Colación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Colec!$M$3:$N$7</c15:sqref>
                  </c15:fullRef>
                </c:ext>
              </c:extLst>
              <c:f>Colec!$M$3:$N$7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Colec!$T$3:$T$7</c15:sqref>
                  </c15:fullRef>
                </c:ext>
              </c:extLst>
              <c:f>Colec!$T$3:$T$7</c:f>
              <c:numCache>
                <c:formatCode>h:mm</c:formatCode>
                <c:ptCount val="5"/>
                <c:pt idx="0">
                  <c:v>3.4722222222220989E-3</c:v>
                </c:pt>
                <c:pt idx="1">
                  <c:v>1.041666666666663E-2</c:v>
                </c:pt>
                <c:pt idx="2">
                  <c:v>1.041666666666663E-2</c:v>
                </c:pt>
                <c:pt idx="3">
                  <c:v>1.388888888888884E-2</c:v>
                </c:pt>
                <c:pt idx="4">
                  <c:v>1.388888888888884E-2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9D-4175-B618-9350432A1323}"/>
            </c:ext>
          </c:extLst>
        </c:ser>
        <c:ser>
          <c:idx val="4"/>
          <c:order val="5"/>
          <c:tx>
            <c:strRef>
              <c:f>Colec!$U$2</c:f>
              <c:strCache>
                <c:ptCount val="1"/>
                <c:pt idx="0">
                  <c:v>Almuerzo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Colec!$M$3:$N$7</c15:sqref>
                  </c15:fullRef>
                </c:ext>
              </c:extLst>
              <c:f>Colec!$M$3:$N$7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Colec!$U$3:$U$7</c15:sqref>
                  </c15:fullRef>
                </c:ext>
              </c:extLst>
              <c:f>Colec!$U$3:$U$7</c:f>
              <c:numCache>
                <c:formatCode>h:mm</c:formatCode>
                <c:ptCount val="5"/>
                <c:pt idx="0">
                  <c:v>2.7777777777777901E-2</c:v>
                </c:pt>
                <c:pt idx="1">
                  <c:v>2.430555555555558E-2</c:v>
                </c:pt>
                <c:pt idx="2">
                  <c:v>2.2916666666666696E-2</c:v>
                </c:pt>
                <c:pt idx="3">
                  <c:v>2.777777777777779E-2</c:v>
                </c:pt>
                <c:pt idx="4">
                  <c:v>3.125E-2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57-4795-99FB-E6DC4241DC57}"/>
            </c:ext>
          </c:extLst>
        </c:ser>
        <c:ser>
          <c:idx val="12"/>
          <c:order val="6"/>
          <c:tx>
            <c:strRef>
              <c:f>Colec!$V$2</c:f>
              <c:strCache>
                <c:ptCount val="1"/>
                <c:pt idx="0">
                  <c:v>Tiempo disponible PM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Colec!$M$3:$N$7</c15:sqref>
                  </c15:fullRef>
                </c:ext>
              </c:extLst>
              <c:f>Colec!$M$3:$N$7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Colec!$V$3:$V$7</c15:sqref>
                  </c15:fullRef>
                </c:ext>
              </c:extLst>
              <c:f>Colec!$V$3:$V$7</c:f>
              <c:numCache>
                <c:formatCode>h:mm</c:formatCode>
                <c:ptCount val="5"/>
                <c:pt idx="0">
                  <c:v>0.12152777777777779</c:v>
                </c:pt>
                <c:pt idx="1">
                  <c:v>0.13888888888888895</c:v>
                </c:pt>
                <c:pt idx="2">
                  <c:v>0.11944444444444446</c:v>
                </c:pt>
                <c:pt idx="3">
                  <c:v>0.13194444444444453</c:v>
                </c:pt>
                <c:pt idx="4">
                  <c:v>0.10763888888888895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57-4795-99FB-E6DC4241D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620023584"/>
        <c:axId val="620016920"/>
      </c:barChart>
      <c:lineChart>
        <c:grouping val="standard"/>
        <c:varyColors val="0"/>
        <c:ser>
          <c:idx val="5"/>
          <c:order val="7"/>
          <c:tx>
            <c:strRef>
              <c:f>Colec!$W$2</c:f>
              <c:strCache>
                <c:ptCount val="1"/>
                <c:pt idx="0">
                  <c:v>1. Llegada a instalación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Colec!$N$3:$N$7</c15:sqref>
                  </c15:fullRef>
                </c:ext>
              </c:extLst>
              <c:f>Colec!$N$3:$N$7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Colec!$W$3:$W$14</c15:sqref>
                  </c15:fullRef>
                </c:ext>
              </c:extLst>
              <c:f>Colec!$W$3:$W$7</c:f>
              <c:numCache>
                <c:formatCode>h:mm</c:formatCode>
                <c:ptCount val="5"/>
                <c:pt idx="0">
                  <c:v>0.33333333333333331</c:v>
                </c:pt>
                <c:pt idx="1">
                  <c:v>0.33333333333333331</c:v>
                </c:pt>
                <c:pt idx="2">
                  <c:v>0.33333333333333331</c:v>
                </c:pt>
                <c:pt idx="3">
                  <c:v>0.33333333333333331</c:v>
                </c:pt>
                <c:pt idx="4">
                  <c:v>0.33333333333333331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A57-4795-99FB-E6DC4241DC57}"/>
            </c:ext>
          </c:extLst>
        </c:ser>
        <c:ser>
          <c:idx val="6"/>
          <c:order val="8"/>
          <c:tx>
            <c:strRef>
              <c:f>Colec!$X$2</c:f>
              <c:strCache>
                <c:ptCount val="1"/>
                <c:pt idx="0">
                  <c:v>2. Salida de instalación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Colec!$N$3:$N$7</c15:sqref>
                  </c15:fullRef>
                </c:ext>
              </c:extLst>
              <c:f>Colec!$N$3:$N$7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Colec!$X$3:$X$14</c15:sqref>
                  </c15:fullRef>
                </c:ext>
              </c:extLst>
              <c:f>Colec!$X$3:$X$7</c:f>
              <c:numCache>
                <c:formatCode>h:mm</c:formatCode>
                <c:ptCount val="5"/>
                <c:pt idx="0">
                  <c:v>0.35416666666666669</c:v>
                </c:pt>
                <c:pt idx="1">
                  <c:v>0.35416666666666669</c:v>
                </c:pt>
                <c:pt idx="2">
                  <c:v>0.35416666666666669</c:v>
                </c:pt>
                <c:pt idx="3">
                  <c:v>0.35416666666666669</c:v>
                </c:pt>
                <c:pt idx="4">
                  <c:v>0.35416666666666669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A57-4795-99FB-E6DC4241DC57}"/>
            </c:ext>
          </c:extLst>
        </c:ser>
        <c:ser>
          <c:idx val="7"/>
          <c:order val="9"/>
          <c:tx>
            <c:strRef>
              <c:f>Colec!$Y$2</c:f>
              <c:strCache>
                <c:ptCount val="1"/>
                <c:pt idx="0">
                  <c:v>3. Inicio de actividades AM</c:v>
                </c:pt>
              </c:strCache>
            </c:strRef>
          </c:tx>
          <c:spPr>
            <a:ln w="508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Colec!$N$3:$N$7</c15:sqref>
                  </c15:fullRef>
                </c:ext>
              </c:extLst>
              <c:f>Colec!$N$3:$N$7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Colec!$Y$3:$Y$14</c15:sqref>
                  </c15:fullRef>
                </c:ext>
              </c:extLst>
              <c:f>Colec!$Y$3:$Y$7</c:f>
              <c:numCache>
                <c:formatCode>h:mm</c:formatCode>
                <c:ptCount val="5"/>
                <c:pt idx="0">
                  <c:v>0.375</c:v>
                </c:pt>
                <c:pt idx="1">
                  <c:v>0.375</c:v>
                </c:pt>
                <c:pt idx="2">
                  <c:v>0.375</c:v>
                </c:pt>
                <c:pt idx="3">
                  <c:v>0.375</c:v>
                </c:pt>
                <c:pt idx="4">
                  <c:v>0.375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A57-4795-99FB-E6DC4241DC57}"/>
            </c:ext>
          </c:extLst>
        </c:ser>
        <c:ser>
          <c:idx val="8"/>
          <c:order val="10"/>
          <c:tx>
            <c:strRef>
              <c:f>Colec!$Z$2</c:f>
              <c:strCache>
                <c:ptCount val="1"/>
                <c:pt idx="0">
                  <c:v>4. Término de actividades AM</c:v>
                </c:pt>
              </c:strCache>
            </c:strRef>
          </c:tx>
          <c:spPr>
            <a:ln w="508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Colec!$N$3:$N$7</c15:sqref>
                  </c15:fullRef>
                </c:ext>
              </c:extLst>
              <c:f>Colec!$N$3:$N$7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Colec!$Z$3:$Z$14</c15:sqref>
                  </c15:fullRef>
                </c:ext>
              </c:extLst>
              <c:f>Colec!$Z$3:$Z$7</c:f>
              <c:numCache>
                <c:formatCode>h:mm</c:formatCode>
                <c:ptCount val="5"/>
                <c:pt idx="0">
                  <c:v>0.59375</c:v>
                </c:pt>
                <c:pt idx="1">
                  <c:v>0.59375</c:v>
                </c:pt>
                <c:pt idx="2">
                  <c:v>0.59375</c:v>
                </c:pt>
                <c:pt idx="3">
                  <c:v>0.59375</c:v>
                </c:pt>
                <c:pt idx="4">
                  <c:v>0.59375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A57-4795-99FB-E6DC4241DC57}"/>
            </c:ext>
          </c:extLst>
        </c:ser>
        <c:ser>
          <c:idx val="10"/>
          <c:order val="11"/>
          <c:tx>
            <c:strRef>
              <c:f>Colec!$AA$2</c:f>
              <c:strCache>
                <c:ptCount val="1"/>
                <c:pt idx="0">
                  <c:v>5. Almuerzo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Colec!$N$3:$N$7</c15:sqref>
                  </c15:fullRef>
                </c:ext>
              </c:extLst>
              <c:f>Colec!$N$3:$N$7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Colec!$AA$3:$AA$7</c15:sqref>
                  </c15:fullRef>
                </c:ext>
              </c:extLst>
              <c:f>Colec!$AA$3:$AA$7</c:f>
              <c:numCache>
                <c:formatCode>h:mm</c:formatCode>
                <c:ptCount val="5"/>
                <c:pt idx="0">
                  <c:v>0.61458333333333337</c:v>
                </c:pt>
                <c:pt idx="1">
                  <c:v>0.61458333333333337</c:v>
                </c:pt>
                <c:pt idx="2">
                  <c:v>0.61458333333333337</c:v>
                </c:pt>
                <c:pt idx="3">
                  <c:v>0.61458333333333337</c:v>
                </c:pt>
                <c:pt idx="4">
                  <c:v>0.61458333333333337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9D-4175-B618-9350432A1323}"/>
            </c:ext>
          </c:extLst>
        </c:ser>
        <c:ser>
          <c:idx val="14"/>
          <c:order val="12"/>
          <c:tx>
            <c:strRef>
              <c:f>Colec!$AB$2</c:f>
              <c:strCache>
                <c:ptCount val="1"/>
                <c:pt idx="0">
                  <c:v>6. Inicio Actividades PM</c:v>
                </c:pt>
              </c:strCache>
            </c:strRef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Colec!$N$3:$N$7</c15:sqref>
                  </c15:fullRef>
                </c:ext>
              </c:extLst>
              <c:f>Colec!$N$3:$N$7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Colec!$AB$3:$AB$14</c15:sqref>
                  </c15:fullRef>
                </c:ext>
              </c:extLst>
              <c:f>Colec!$AB$3:$AB$7</c:f>
              <c:numCache>
                <c:formatCode>h:mm</c:formatCode>
                <c:ptCount val="5"/>
                <c:pt idx="0">
                  <c:v>0.63541666666666663</c:v>
                </c:pt>
                <c:pt idx="1">
                  <c:v>0.63541666666666663</c:v>
                </c:pt>
                <c:pt idx="2">
                  <c:v>0.63541666666666663</c:v>
                </c:pt>
                <c:pt idx="3">
                  <c:v>0.63541666666666663</c:v>
                </c:pt>
                <c:pt idx="4">
                  <c:v>0.63541666666666663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A57-4795-99FB-E6DC4241DC57}"/>
            </c:ext>
          </c:extLst>
        </c:ser>
        <c:ser>
          <c:idx val="19"/>
          <c:order val="13"/>
          <c:tx>
            <c:strRef>
              <c:f>Colec!$AC$2</c:f>
              <c:strCache>
                <c:ptCount val="1"/>
                <c:pt idx="0">
                  <c:v>7. término Actividades PM</c:v>
                </c:pt>
              </c:strCache>
            </c:strRef>
          </c:tx>
          <c:spPr>
            <a:ln w="5080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Colec!$N$3:$N$7</c15:sqref>
                  </c15:fullRef>
                </c:ext>
              </c:extLst>
              <c:f>Colec!$N$3:$N$7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Colec!$AC$3:$AC$14</c15:sqref>
                  </c15:fullRef>
                </c:ext>
              </c:extLst>
              <c:f>Colec!$AC$3:$AC$7</c:f>
              <c:numCache>
                <c:formatCode>h:mm</c:formatCode>
                <c:ptCount val="5"/>
                <c:pt idx="0">
                  <c:v>0.66666666666666663</c:v>
                </c:pt>
                <c:pt idx="1">
                  <c:v>0.66666666666666663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21-40B8-A725-E65B89899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0012608"/>
        <c:axId val="620023192"/>
      </c:lineChart>
      <c:catAx>
        <c:axId val="620023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0795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20016920"/>
        <c:crossesAt val="0"/>
        <c:auto val="1"/>
        <c:lblAlgn val="ctr"/>
        <c:lblOffset val="60"/>
        <c:noMultiLvlLbl val="0"/>
      </c:catAx>
      <c:valAx>
        <c:axId val="620016920"/>
        <c:scaling>
          <c:orientation val="minMax"/>
          <c:max val="0.996"/>
          <c:min val="0.6680000000000001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200"/>
                  <a:t>horario turno [h]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20023584"/>
        <c:crosses val="autoZero"/>
        <c:crossBetween val="between"/>
        <c:majorUnit val="4.1600000000000012E-2"/>
        <c:minorUnit val="8.3300000000000023E-3"/>
      </c:valAx>
      <c:valAx>
        <c:axId val="620023192"/>
        <c:scaling>
          <c:orientation val="minMax"/>
          <c:max val="0.68000000000000016"/>
          <c:min val="0.33400000000000007"/>
        </c:scaling>
        <c:delete val="0"/>
        <c:axPos val="r"/>
        <c:numFmt formatCode="h:mm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20012608"/>
        <c:crosses val="max"/>
        <c:crossBetween val="between"/>
        <c:majorUnit val="4.1600000000000012E-2"/>
      </c:valAx>
      <c:catAx>
        <c:axId val="6200126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20023192"/>
        <c:crosses val="autoZero"/>
        <c:auto val="1"/>
        <c:lblAlgn val="ctr"/>
        <c:lblOffset val="100"/>
        <c:noMultiLvlLbl val="0"/>
      </c:catAx>
      <c:spPr>
        <a:solidFill>
          <a:schemeClr val="bg1">
            <a:lumMod val="95000"/>
          </a:schemeClr>
        </a:solidFill>
        <a:ln w="180975"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r"/>
      <c:legendEntry>
        <c:idx val="6"/>
        <c:delete val="1"/>
      </c:legendEntry>
      <c:layout>
        <c:manualLayout>
          <c:xMode val="edge"/>
          <c:yMode val="edge"/>
          <c:x val="0.73396349538586303"/>
          <c:y val="4.2363227223204618E-2"/>
          <c:w val="0.25679428938626514"/>
          <c:h val="0.59664325885599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aseline="0">
          <a:solidFill>
            <a:schemeClr val="tx1"/>
          </a:solidFill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726410731206414E-2"/>
          <c:y val="6.881279470553453E-2"/>
          <c:w val="0.63174794686316249"/>
          <c:h val="0.827722525675281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'TTE 7'!$P$2</c:f>
              <c:strCache>
                <c:ptCount val="1"/>
                <c:pt idx="0">
                  <c:v>Llegada a instalación</c:v>
                </c:pt>
              </c:strCache>
            </c:strRef>
          </c:tx>
          <c:spPr>
            <a:solidFill>
              <a:schemeClr val="bg1"/>
            </a:solidFill>
            <a:ln w="0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7'!$P$3:$P$7</c15:sqref>
                  </c15:fullRef>
                </c:ext>
              </c:extLst>
              <c:f>'TTE 7'!$P$3:$P$7</c:f>
              <c:numCache>
                <c:formatCode>h:mm</c:formatCode>
                <c:ptCount val="5"/>
                <c:pt idx="0">
                  <c:v>0.33680555555555558</c:v>
                </c:pt>
                <c:pt idx="1">
                  <c:v>0.33680555555555558</c:v>
                </c:pt>
                <c:pt idx="2">
                  <c:v>0.33680555555555558</c:v>
                </c:pt>
                <c:pt idx="3">
                  <c:v>0.33680555555555558</c:v>
                </c:pt>
                <c:pt idx="4">
                  <c:v>0.33680555555555558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7-4795-99FB-E6DC4241DC57}"/>
            </c:ext>
          </c:extLst>
        </c:ser>
        <c:ser>
          <c:idx val="1"/>
          <c:order val="1"/>
          <c:tx>
            <c:strRef>
              <c:f>'TTE 7'!$Q$2</c:f>
              <c:strCache>
                <c:ptCount val="1"/>
                <c:pt idx="0">
                  <c:v>Tiempo en instalación 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7'!$Q$3:$Q$7</c15:sqref>
                  </c15:fullRef>
                </c:ext>
              </c:extLst>
              <c:f>'TTE 7'!$Q$3:$Q$7</c:f>
              <c:numCache>
                <c:formatCode>h:mm</c:formatCode>
                <c:ptCount val="5"/>
                <c:pt idx="0">
                  <c:v>3.125E-2</c:v>
                </c:pt>
                <c:pt idx="1">
                  <c:v>1.388888888888884E-2</c:v>
                </c:pt>
                <c:pt idx="2">
                  <c:v>2.7777777777777735E-2</c:v>
                </c:pt>
                <c:pt idx="3">
                  <c:v>2.9861111111111116E-2</c:v>
                </c:pt>
                <c:pt idx="4">
                  <c:v>2.4305555555555525E-2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57-4795-99FB-E6DC4241DC57}"/>
            </c:ext>
          </c:extLst>
        </c:ser>
        <c:ser>
          <c:idx val="2"/>
          <c:order val="2"/>
          <c:tx>
            <c:strRef>
              <c:f>'TTE 7'!$R$2</c:f>
              <c:strCache>
                <c:ptCount val="1"/>
                <c:pt idx="0">
                  <c:v>Traslado a postura </c:v>
                </c:pt>
              </c:strCache>
            </c:strRef>
          </c:tx>
          <c:spPr>
            <a:solidFill>
              <a:srgbClr val="FF0000"/>
            </a:solidFill>
            <a:ln cap="sq" cmpd="sng"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7'!$R$3:$R$7</c15:sqref>
                  </c15:fullRef>
                </c:ext>
              </c:extLst>
              <c:f>'TTE 7'!$R$3:$R$7</c:f>
              <c:numCache>
                <c:formatCode>h:mm</c:formatCode>
                <c:ptCount val="5"/>
                <c:pt idx="0">
                  <c:v>1.0416666666666685E-2</c:v>
                </c:pt>
                <c:pt idx="1">
                  <c:v>2.2916666666666696E-2</c:v>
                </c:pt>
                <c:pt idx="2">
                  <c:v>1.3888888888888951E-2</c:v>
                </c:pt>
                <c:pt idx="3">
                  <c:v>1.0416666666666685E-2</c:v>
                </c:pt>
                <c:pt idx="4">
                  <c:v>2.2222222222222199E-2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57-4795-99FB-E6DC4241DC57}"/>
            </c:ext>
          </c:extLst>
        </c:ser>
        <c:ser>
          <c:idx val="3"/>
          <c:order val="3"/>
          <c:tx>
            <c:strRef>
              <c:f>'TTE 7'!$S$2</c:f>
              <c:strCache>
                <c:ptCount val="1"/>
                <c:pt idx="0">
                  <c:v>Tiempo disponible AM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7'!$S$3:$S$7</c15:sqref>
                  </c15:fullRef>
                </c:ext>
              </c:extLst>
              <c:f>'TTE 7'!$S$3:$S$7</c:f>
              <c:numCache>
                <c:formatCode>h:mm</c:formatCode>
                <c:ptCount val="5"/>
                <c:pt idx="0">
                  <c:v>0.22222222222222215</c:v>
                </c:pt>
                <c:pt idx="1">
                  <c:v>0.23055555555555551</c:v>
                </c:pt>
                <c:pt idx="2">
                  <c:v>0.23402777777777767</c:v>
                </c:pt>
                <c:pt idx="3">
                  <c:v>0.23402777777777767</c:v>
                </c:pt>
                <c:pt idx="4">
                  <c:v>0.2104166666666667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57-4795-99FB-E6DC4241DC57}"/>
            </c:ext>
          </c:extLst>
        </c:ser>
        <c:ser>
          <c:idx val="9"/>
          <c:order val="4"/>
          <c:tx>
            <c:strRef>
              <c:f>'TTE 7'!$T$2</c:f>
              <c:strCache>
                <c:ptCount val="1"/>
                <c:pt idx="0">
                  <c:v>Traslado Colación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7'!$T$3:$T$7</c15:sqref>
                  </c15:fullRef>
                </c:ext>
              </c:extLst>
              <c:f>'TTE 7'!$T$3:$T$7</c:f>
              <c:numCache>
                <c:formatCode>h:mm</c:formatCode>
                <c:ptCount val="5"/>
                <c:pt idx="0">
                  <c:v>1.041666666666663E-2</c:v>
                </c:pt>
                <c:pt idx="1">
                  <c:v>1.0416666666666741E-2</c:v>
                </c:pt>
                <c:pt idx="2">
                  <c:v>1.2500000000000067E-2</c:v>
                </c:pt>
                <c:pt idx="3">
                  <c:v>1.3888888888888951E-2</c:v>
                </c:pt>
                <c:pt idx="4">
                  <c:v>6.9444444444444198E-3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9D-4175-B618-9350432A1323}"/>
            </c:ext>
          </c:extLst>
        </c:ser>
        <c:ser>
          <c:idx val="4"/>
          <c:order val="5"/>
          <c:tx>
            <c:strRef>
              <c:f>'TTE 7'!$U$2</c:f>
              <c:strCache>
                <c:ptCount val="1"/>
                <c:pt idx="0">
                  <c:v>Almuerzo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7'!$U$3:$U$7</c15:sqref>
                  </c15:fullRef>
                </c:ext>
              </c:extLst>
              <c:f>'TTE 7'!$U$3:$U$7</c:f>
              <c:numCache>
                <c:formatCode>h:mm</c:formatCode>
                <c:ptCount val="5"/>
                <c:pt idx="0">
                  <c:v>2.430555555555558E-2</c:v>
                </c:pt>
                <c:pt idx="1">
                  <c:v>2.0833333333333259E-2</c:v>
                </c:pt>
                <c:pt idx="2">
                  <c:v>2.083333333333337E-2</c:v>
                </c:pt>
                <c:pt idx="3">
                  <c:v>2.083333333333337E-2</c:v>
                </c:pt>
                <c:pt idx="4">
                  <c:v>2.777777777777779E-2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57-4795-99FB-E6DC4241DC57}"/>
            </c:ext>
          </c:extLst>
        </c:ser>
        <c:ser>
          <c:idx val="12"/>
          <c:order val="6"/>
          <c:tx>
            <c:strRef>
              <c:f>'TTE 7'!$V$2</c:f>
              <c:strCache>
                <c:ptCount val="1"/>
                <c:pt idx="0">
                  <c:v>Tiempo disponible PM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7'!$V$3:$V$7</c15:sqref>
                  </c15:fullRef>
                </c:ext>
              </c:extLst>
              <c:f>'TTE 7'!$V$3:$V$7</c:f>
              <c:numCache>
                <c:formatCode>h:mm</c:formatCode>
                <c:ptCount val="5"/>
                <c:pt idx="0">
                  <c:v>2.430555555555558E-2</c:v>
                </c:pt>
                <c:pt idx="1">
                  <c:v>2.430555555555558E-2</c:v>
                </c:pt>
                <c:pt idx="2">
                  <c:v>1.388888888888884E-2</c:v>
                </c:pt>
                <c:pt idx="3">
                  <c:v>1.388888888888884E-2</c:v>
                </c:pt>
                <c:pt idx="4">
                  <c:v>3.125E-2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57-4795-99FB-E6DC4241D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620021232"/>
        <c:axId val="620018096"/>
      </c:barChart>
      <c:lineChart>
        <c:grouping val="standard"/>
        <c:varyColors val="0"/>
        <c:ser>
          <c:idx val="5"/>
          <c:order val="7"/>
          <c:tx>
            <c:strRef>
              <c:f>'TTE 7'!$W$2</c:f>
              <c:strCache>
                <c:ptCount val="1"/>
                <c:pt idx="0">
                  <c:v>1. Llegada a instalación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'TTE 7'!$N$3:$N$7</c15:sqref>
                  </c15:fullRef>
                </c:ext>
              </c:extLst>
              <c:f>'TTE 7'!$N$3:$N$7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7'!$W$3:$W$14</c15:sqref>
                  </c15:fullRef>
                </c:ext>
              </c:extLst>
              <c:f>'TTE 7'!$W$3:$W$7</c:f>
              <c:numCache>
                <c:formatCode>h:mm</c:formatCode>
                <c:ptCount val="5"/>
                <c:pt idx="0">
                  <c:v>0.66666666666666663</c:v>
                </c:pt>
                <c:pt idx="1">
                  <c:v>0.66666666666666663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A57-4795-99FB-E6DC4241DC57}"/>
            </c:ext>
          </c:extLst>
        </c:ser>
        <c:ser>
          <c:idx val="6"/>
          <c:order val="8"/>
          <c:tx>
            <c:strRef>
              <c:f>'TTE 7'!$X$2</c:f>
              <c:strCache>
                <c:ptCount val="1"/>
                <c:pt idx="0">
                  <c:v>2. Salida de instalación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'TTE 7'!$N$3:$N$7</c15:sqref>
                  </c15:fullRef>
                </c:ext>
              </c:extLst>
              <c:f>'TTE 7'!$N$3:$N$7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7'!$X$3:$X$14</c15:sqref>
                  </c15:fullRef>
                </c:ext>
              </c:extLst>
              <c:f>'TTE 7'!$X$3:$X$7</c:f>
              <c:numCache>
                <c:formatCode>h:mm</c:formatCode>
                <c:ptCount val="5"/>
                <c:pt idx="0">
                  <c:v>0.6875</c:v>
                </c:pt>
                <c:pt idx="1">
                  <c:v>0.6875</c:v>
                </c:pt>
                <c:pt idx="2">
                  <c:v>0.6875</c:v>
                </c:pt>
                <c:pt idx="3">
                  <c:v>0.6875</c:v>
                </c:pt>
                <c:pt idx="4">
                  <c:v>0.6875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A57-4795-99FB-E6DC4241DC57}"/>
            </c:ext>
          </c:extLst>
        </c:ser>
        <c:ser>
          <c:idx val="7"/>
          <c:order val="9"/>
          <c:tx>
            <c:strRef>
              <c:f>'TTE 7'!$Y$2</c:f>
              <c:strCache>
                <c:ptCount val="1"/>
                <c:pt idx="0">
                  <c:v>3. Inicio de actividades AM</c:v>
                </c:pt>
              </c:strCache>
            </c:strRef>
          </c:tx>
          <c:spPr>
            <a:ln w="508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'TTE 7'!$N$3:$N$7</c15:sqref>
                  </c15:fullRef>
                </c:ext>
              </c:extLst>
              <c:f>'TTE 7'!$N$3:$N$7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7'!$Y$3:$Y$14</c15:sqref>
                  </c15:fullRef>
                </c:ext>
              </c:extLst>
              <c:f>'TTE 7'!$Y$3:$Y$7</c:f>
              <c:numCache>
                <c:formatCode>h:mm</c:formatCode>
                <c:ptCount val="5"/>
                <c:pt idx="0">
                  <c:v>0.69791666666666663</c:v>
                </c:pt>
                <c:pt idx="1">
                  <c:v>0.69791666666666663</c:v>
                </c:pt>
                <c:pt idx="2">
                  <c:v>0.69791666666666663</c:v>
                </c:pt>
                <c:pt idx="3">
                  <c:v>0.69791666666666663</c:v>
                </c:pt>
                <c:pt idx="4">
                  <c:v>0.69791666666666663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A57-4795-99FB-E6DC4241DC57}"/>
            </c:ext>
          </c:extLst>
        </c:ser>
        <c:ser>
          <c:idx val="8"/>
          <c:order val="10"/>
          <c:tx>
            <c:strRef>
              <c:f>'TTE 7'!$Z$2</c:f>
              <c:strCache>
                <c:ptCount val="1"/>
                <c:pt idx="0">
                  <c:v>4. Término de actividades AM</c:v>
                </c:pt>
              </c:strCache>
            </c:strRef>
          </c:tx>
          <c:spPr>
            <a:ln w="508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'TTE 7'!$N$3:$N$7</c15:sqref>
                  </c15:fullRef>
                </c:ext>
              </c:extLst>
              <c:f>'TTE 7'!$N$3:$N$7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7'!$Z$3:$Z$14</c15:sqref>
                  </c15:fullRef>
                </c:ext>
              </c:extLst>
              <c:f>'TTE 7'!$Z$3:$Z$7</c:f>
              <c:numCache>
                <c:formatCode>h:mm</c:formatCode>
                <c:ptCount val="5"/>
                <c:pt idx="0">
                  <c:v>0.70486111111111116</c:v>
                </c:pt>
                <c:pt idx="1">
                  <c:v>0.70486111111111116</c:v>
                </c:pt>
                <c:pt idx="2">
                  <c:v>0.70486111111111116</c:v>
                </c:pt>
                <c:pt idx="3">
                  <c:v>0.70486111111111116</c:v>
                </c:pt>
                <c:pt idx="4">
                  <c:v>0.70486111111111116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A57-4795-99FB-E6DC4241DC57}"/>
            </c:ext>
          </c:extLst>
        </c:ser>
        <c:ser>
          <c:idx val="10"/>
          <c:order val="11"/>
          <c:tx>
            <c:strRef>
              <c:f>'TTE 7'!$AA$2</c:f>
              <c:strCache>
                <c:ptCount val="1"/>
                <c:pt idx="0">
                  <c:v>5. Almuerzo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'TTE 7'!$N$3:$N$7</c15:sqref>
                  </c15:fullRef>
                </c:ext>
              </c:extLst>
              <c:f>'TTE 7'!$N$3:$N$7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7'!$AA$3:$AA$7</c15:sqref>
                  </c15:fullRef>
                </c:ext>
              </c:extLst>
              <c:f>'TTE 7'!$AA$3:$AA$7</c:f>
              <c:numCache>
                <c:formatCode>h:mm</c:formatCode>
                <c:ptCount val="5"/>
                <c:pt idx="0">
                  <c:v>0.95486111111111116</c:v>
                </c:pt>
                <c:pt idx="1">
                  <c:v>0.95486111111111116</c:v>
                </c:pt>
                <c:pt idx="2">
                  <c:v>0.95486111111111116</c:v>
                </c:pt>
                <c:pt idx="3">
                  <c:v>0.95486111111111116</c:v>
                </c:pt>
                <c:pt idx="4">
                  <c:v>0.95486111111111116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9D-4175-B618-9350432A1323}"/>
            </c:ext>
          </c:extLst>
        </c:ser>
        <c:ser>
          <c:idx val="14"/>
          <c:order val="12"/>
          <c:tx>
            <c:strRef>
              <c:f>'TTE 7'!$AB$2</c:f>
              <c:strCache>
                <c:ptCount val="1"/>
                <c:pt idx="0">
                  <c:v>6. Inicio Actividades PM</c:v>
                </c:pt>
              </c:strCache>
            </c:strRef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'TTE 7'!$N$3:$N$7</c15:sqref>
                  </c15:fullRef>
                </c:ext>
              </c:extLst>
              <c:f>'TTE 7'!$N$3:$N$7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7'!$AB$3:$AB$14</c15:sqref>
                  </c15:fullRef>
                </c:ext>
              </c:extLst>
              <c:f>'TTE 7'!$AB$3:$AB$7</c:f>
              <c:numCache>
                <c:formatCode>h:mm</c:formatCode>
                <c:ptCount val="5"/>
                <c:pt idx="0">
                  <c:v>0.96180555555555547</c:v>
                </c:pt>
                <c:pt idx="1">
                  <c:v>0.96180555555555547</c:v>
                </c:pt>
                <c:pt idx="2">
                  <c:v>0.96180555555555547</c:v>
                </c:pt>
                <c:pt idx="3">
                  <c:v>0.96180555555555547</c:v>
                </c:pt>
                <c:pt idx="4">
                  <c:v>0.96180555555555547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A57-4795-99FB-E6DC4241DC57}"/>
            </c:ext>
          </c:extLst>
        </c:ser>
        <c:ser>
          <c:idx val="19"/>
          <c:order val="13"/>
          <c:tx>
            <c:strRef>
              <c:f>'TTE 7'!$AC$2</c:f>
              <c:strCache>
                <c:ptCount val="1"/>
                <c:pt idx="0">
                  <c:v>7. término Actividades PM</c:v>
                </c:pt>
              </c:strCache>
            </c:strRef>
          </c:tx>
          <c:spPr>
            <a:ln w="5080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'TTE 7'!$N$3:$N$7</c15:sqref>
                  </c15:fullRef>
                </c:ext>
              </c:extLst>
              <c:f>'TTE 7'!$N$3:$N$7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7'!$AC$3:$AC$14</c15:sqref>
                  </c15:fullRef>
                </c:ext>
              </c:extLst>
              <c:f>'TTE 7'!$AC$3:$AC$7</c:f>
              <c:numCache>
                <c:formatCode>h:mm</c:formatCode>
                <c:ptCount val="5"/>
                <c:pt idx="0">
                  <c:v>0.97222222222222221</c:v>
                </c:pt>
                <c:pt idx="1">
                  <c:v>0.97222222222222221</c:v>
                </c:pt>
                <c:pt idx="2">
                  <c:v>0.97222222222222221</c:v>
                </c:pt>
                <c:pt idx="3">
                  <c:v>0.97222222222222221</c:v>
                </c:pt>
                <c:pt idx="4">
                  <c:v>0.97222222222222221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21-40B8-A725-E65B89899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0020840"/>
        <c:axId val="620014568"/>
      </c:lineChart>
      <c:catAx>
        <c:axId val="620021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0795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20018096"/>
        <c:crossesAt val="0"/>
        <c:auto val="1"/>
        <c:lblAlgn val="ctr"/>
        <c:lblOffset val="60"/>
        <c:noMultiLvlLbl val="0"/>
      </c:catAx>
      <c:valAx>
        <c:axId val="620018096"/>
        <c:scaling>
          <c:orientation val="minMax"/>
          <c:max val="0.66800000000000015"/>
          <c:min val="0.33400000000000007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200"/>
                  <a:t>horario turno [h]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20021232"/>
        <c:crosses val="autoZero"/>
        <c:crossBetween val="between"/>
        <c:majorUnit val="4.1600000000000012E-2"/>
        <c:minorUnit val="8.3300000000000023E-3"/>
      </c:valAx>
      <c:valAx>
        <c:axId val="620014568"/>
        <c:scaling>
          <c:orientation val="minMax"/>
          <c:max val="1"/>
          <c:min val="0.66800000000000015"/>
        </c:scaling>
        <c:delete val="0"/>
        <c:axPos val="r"/>
        <c:numFmt formatCode="h:mm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20020840"/>
        <c:crosses val="max"/>
        <c:crossBetween val="between"/>
        <c:majorUnit val="4.1600000000000012E-2"/>
      </c:valAx>
      <c:catAx>
        <c:axId val="6200208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20014568"/>
        <c:crosses val="autoZero"/>
        <c:auto val="1"/>
        <c:lblAlgn val="ctr"/>
        <c:lblOffset val="100"/>
        <c:noMultiLvlLbl val="0"/>
      </c:catAx>
      <c:spPr>
        <a:solidFill>
          <a:schemeClr val="bg1">
            <a:lumMod val="95000"/>
          </a:schemeClr>
        </a:solidFill>
        <a:ln w="180975"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r"/>
      <c:legendEntry>
        <c:idx val="6"/>
        <c:delete val="1"/>
      </c:legendEntry>
      <c:layout>
        <c:manualLayout>
          <c:xMode val="edge"/>
          <c:yMode val="edge"/>
          <c:x val="0.73396349538586303"/>
          <c:y val="4.2363227223204618E-2"/>
          <c:w val="0.25679428938626514"/>
          <c:h val="0.59664325885599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aseline="0">
          <a:solidFill>
            <a:schemeClr val="tx1"/>
          </a:solidFill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726410731206414E-2"/>
          <c:y val="6.881279470553453E-2"/>
          <c:w val="0.63174794686316249"/>
          <c:h val="0.827722525675281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'CH colon'!$P$2</c:f>
              <c:strCache>
                <c:ptCount val="1"/>
                <c:pt idx="0">
                  <c:v>Llegada a instalación</c:v>
                </c:pt>
              </c:strCache>
            </c:strRef>
          </c:tx>
          <c:spPr>
            <a:solidFill>
              <a:schemeClr val="bg1"/>
            </a:solidFill>
            <a:ln w="0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'CH colon'!$M$3:$N$7</c15:sqref>
                  </c15:fullRef>
                </c:ext>
              </c:extLst>
              <c:f>'CH colon'!$M$3:$N$7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 colon'!$P$3:$P$7</c15:sqref>
                  </c15:fullRef>
                </c:ext>
              </c:extLst>
              <c:f>'CH colon'!$P$3:$P$7</c:f>
              <c:numCache>
                <c:formatCode>h:mm</c:formatCode>
                <c:ptCount val="5"/>
                <c:pt idx="0">
                  <c:v>0.3125</c:v>
                </c:pt>
                <c:pt idx="1">
                  <c:v>0.31597222222222221</c:v>
                </c:pt>
                <c:pt idx="2">
                  <c:v>0.30902777777777779</c:v>
                </c:pt>
                <c:pt idx="3">
                  <c:v>0.30902777777777779</c:v>
                </c:pt>
                <c:pt idx="4">
                  <c:v>0.31111111111111112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7-4795-99FB-E6DC4241DC57}"/>
            </c:ext>
          </c:extLst>
        </c:ser>
        <c:ser>
          <c:idx val="1"/>
          <c:order val="1"/>
          <c:tx>
            <c:strRef>
              <c:f>'CH colon'!$Q$2</c:f>
              <c:strCache>
                <c:ptCount val="1"/>
                <c:pt idx="0">
                  <c:v>Tiempo en instalación 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'CH colon'!$M$3:$N$7</c15:sqref>
                  </c15:fullRef>
                </c:ext>
              </c:extLst>
              <c:f>'CH colon'!$M$3:$N$7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 colon'!$Q$3:$Q$7</c15:sqref>
                  </c15:fullRef>
                </c:ext>
              </c:extLst>
              <c:f>'CH colon'!$Q$3:$Q$7</c:f>
              <c:numCache>
                <c:formatCode>h:mm</c:formatCode>
                <c:ptCount val="5"/>
                <c:pt idx="0">
                  <c:v>1.7361111111111105E-2</c:v>
                </c:pt>
                <c:pt idx="1">
                  <c:v>1.7361111111111105E-2</c:v>
                </c:pt>
                <c:pt idx="2">
                  <c:v>1.7361111111111105E-2</c:v>
                </c:pt>
                <c:pt idx="3">
                  <c:v>1.5277777777777779E-2</c:v>
                </c:pt>
                <c:pt idx="4">
                  <c:v>1.2500000000000011E-2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57-4795-99FB-E6DC4241DC57}"/>
            </c:ext>
          </c:extLst>
        </c:ser>
        <c:ser>
          <c:idx val="2"/>
          <c:order val="2"/>
          <c:tx>
            <c:strRef>
              <c:f>'CH colon'!$R$2</c:f>
              <c:strCache>
                <c:ptCount val="1"/>
                <c:pt idx="0">
                  <c:v>Traslado a postura </c:v>
                </c:pt>
              </c:strCache>
            </c:strRef>
          </c:tx>
          <c:spPr>
            <a:solidFill>
              <a:srgbClr val="FF0000"/>
            </a:solidFill>
            <a:ln cap="sq" cmpd="sng"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'CH colon'!$M$3:$N$7</c15:sqref>
                  </c15:fullRef>
                </c:ext>
              </c:extLst>
              <c:f>'CH colon'!$M$3:$N$7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 colon'!$R$3:$R$7</c15:sqref>
                  </c15:fullRef>
                </c:ext>
              </c:extLst>
              <c:f>'CH colon'!$R$3:$R$7</c:f>
              <c:numCache>
                <c:formatCode>h:mm</c:formatCode>
                <c:ptCount val="5"/>
                <c:pt idx="0">
                  <c:v>2.3611111111111083E-2</c:v>
                </c:pt>
                <c:pt idx="1">
                  <c:v>2.430555555555558E-2</c:v>
                </c:pt>
                <c:pt idx="2">
                  <c:v>2.4305555555555525E-2</c:v>
                </c:pt>
                <c:pt idx="3">
                  <c:v>2.6388888888888851E-2</c:v>
                </c:pt>
                <c:pt idx="4">
                  <c:v>2.8472222222222177E-2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57-4795-99FB-E6DC4241DC57}"/>
            </c:ext>
          </c:extLst>
        </c:ser>
        <c:ser>
          <c:idx val="3"/>
          <c:order val="3"/>
          <c:tx>
            <c:strRef>
              <c:f>'CH colon'!$S$2</c:f>
              <c:strCache>
                <c:ptCount val="1"/>
                <c:pt idx="0">
                  <c:v>Tiempo disponible AM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'CH colon'!$M$3:$N$7</c15:sqref>
                  </c15:fullRef>
                </c:ext>
              </c:extLst>
              <c:f>'CH colon'!$M$3:$N$7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 colon'!$S$3:$S$7</c15:sqref>
                  </c15:fullRef>
                </c:ext>
              </c:extLst>
              <c:f>'CH colon'!$S$3:$S$7</c:f>
              <c:numCache>
                <c:formatCode>h:mm</c:formatCode>
                <c:ptCount val="5"/>
                <c:pt idx="0">
                  <c:v>0.22986111111111118</c:v>
                </c:pt>
                <c:pt idx="1">
                  <c:v>0.16666666666666669</c:v>
                </c:pt>
                <c:pt idx="2">
                  <c:v>0.16666666666666663</c:v>
                </c:pt>
                <c:pt idx="3">
                  <c:v>0.21875</c:v>
                </c:pt>
                <c:pt idx="4">
                  <c:v>0.19305555555555565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57-4795-99FB-E6DC4241DC57}"/>
            </c:ext>
          </c:extLst>
        </c:ser>
        <c:ser>
          <c:idx val="9"/>
          <c:order val="4"/>
          <c:tx>
            <c:strRef>
              <c:f>'CH colon'!$T$2</c:f>
              <c:strCache>
                <c:ptCount val="1"/>
                <c:pt idx="0">
                  <c:v>Traslado Colación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'CH colon'!$M$3:$N$7</c15:sqref>
                  </c15:fullRef>
                </c:ext>
              </c:extLst>
              <c:f>'CH colon'!$M$3:$N$7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 colon'!$T$3:$T$7</c15:sqref>
                  </c15:fullRef>
                </c:ext>
              </c:extLst>
              <c:f>'CH colon'!$T$3:$T$7</c:f>
              <c:numCache>
                <c:formatCode>h:mm</c:formatCode>
                <c:ptCount val="5"/>
                <c:pt idx="0">
                  <c:v>6.9444444444444198E-3</c:v>
                </c:pt>
                <c:pt idx="1">
                  <c:v>6.9444444444444198E-3</c:v>
                </c:pt>
                <c:pt idx="2">
                  <c:v>6.9444444444445308E-3</c:v>
                </c:pt>
                <c:pt idx="3">
                  <c:v>1.041666666666663E-2</c:v>
                </c:pt>
                <c:pt idx="4">
                  <c:v>6.9444444444444198E-3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9D-4175-B618-9350432A1323}"/>
            </c:ext>
          </c:extLst>
        </c:ser>
        <c:ser>
          <c:idx val="4"/>
          <c:order val="5"/>
          <c:tx>
            <c:strRef>
              <c:f>'CH colon'!$U$2</c:f>
              <c:strCache>
                <c:ptCount val="1"/>
                <c:pt idx="0">
                  <c:v>Almuerzo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'CH colon'!$M$3:$N$7</c15:sqref>
                  </c15:fullRef>
                </c:ext>
              </c:extLst>
              <c:f>'CH colon'!$M$3:$N$7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 colon'!$U$3:$U$7</c15:sqref>
                  </c15:fullRef>
                </c:ext>
              </c:extLst>
              <c:f>'CH colon'!$U$3:$U$7</c:f>
              <c:numCache>
                <c:formatCode>h:mm</c:formatCode>
                <c:ptCount val="5"/>
                <c:pt idx="0">
                  <c:v>2.430555555555558E-2</c:v>
                </c:pt>
                <c:pt idx="1">
                  <c:v>2.777777777777779E-2</c:v>
                </c:pt>
                <c:pt idx="2">
                  <c:v>2.777777777777779E-2</c:v>
                </c:pt>
                <c:pt idx="3">
                  <c:v>2.7777777777777901E-2</c:v>
                </c:pt>
                <c:pt idx="4">
                  <c:v>2.430555555555558E-2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57-4795-99FB-E6DC4241DC57}"/>
            </c:ext>
          </c:extLst>
        </c:ser>
        <c:ser>
          <c:idx val="12"/>
          <c:order val="6"/>
          <c:tx>
            <c:strRef>
              <c:f>'CH colon'!$V$2</c:f>
              <c:strCache>
                <c:ptCount val="1"/>
                <c:pt idx="0">
                  <c:v>Tiempo disponible PM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'CH colon'!$M$3:$N$7</c15:sqref>
                  </c15:fullRef>
                </c:ext>
              </c:extLst>
              <c:f>'CH colon'!$M$3:$N$7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 colon'!$V$3:$V$7</c15:sqref>
                  </c15:fullRef>
                </c:ext>
              </c:extLst>
              <c:f>'CH colon'!$V$3:$V$7</c:f>
              <c:numCache>
                <c:formatCode>h:mm</c:formatCode>
                <c:ptCount val="5"/>
                <c:pt idx="0">
                  <c:v>4.166666666666663E-2</c:v>
                </c:pt>
                <c:pt idx="1">
                  <c:v>9.722222222222221E-2</c:v>
                </c:pt>
                <c:pt idx="2">
                  <c:v>0.10416666666666663</c:v>
                </c:pt>
                <c:pt idx="3">
                  <c:v>5.2083333333333259E-2</c:v>
                </c:pt>
                <c:pt idx="4">
                  <c:v>8.3333333333333259E-2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57-4795-99FB-E6DC4241D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620012216"/>
        <c:axId val="620016136"/>
      </c:barChart>
      <c:lineChart>
        <c:grouping val="standard"/>
        <c:varyColors val="0"/>
        <c:ser>
          <c:idx val="5"/>
          <c:order val="7"/>
          <c:tx>
            <c:strRef>
              <c:f>'CH colon'!$W$2</c:f>
              <c:strCache>
                <c:ptCount val="1"/>
                <c:pt idx="0">
                  <c:v>1. Llegada a instalación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'CH colon'!$N$3:$N$7</c15:sqref>
                  </c15:fullRef>
                </c:ext>
              </c:extLst>
              <c:f>'CH colon'!$N$3:$N$7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 colon'!$W$3:$W$14</c15:sqref>
                  </c15:fullRef>
                </c:ext>
              </c:extLst>
              <c:f>'CH colon'!$W$3:$W$7</c:f>
              <c:numCache>
                <c:formatCode>h:mm</c:formatCode>
                <c:ptCount val="5"/>
                <c:pt idx="0">
                  <c:v>0.33333333333333331</c:v>
                </c:pt>
                <c:pt idx="1">
                  <c:v>0.33333333333333331</c:v>
                </c:pt>
                <c:pt idx="2">
                  <c:v>0.33333333333333331</c:v>
                </c:pt>
                <c:pt idx="3">
                  <c:v>0.33333333333333331</c:v>
                </c:pt>
                <c:pt idx="4">
                  <c:v>0.33333333333333331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A57-4795-99FB-E6DC4241DC57}"/>
            </c:ext>
          </c:extLst>
        </c:ser>
        <c:ser>
          <c:idx val="6"/>
          <c:order val="8"/>
          <c:tx>
            <c:strRef>
              <c:f>'CH colon'!$X$2</c:f>
              <c:strCache>
                <c:ptCount val="1"/>
                <c:pt idx="0">
                  <c:v>2. Salida de instalación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'CH colon'!$N$3:$N$7</c15:sqref>
                  </c15:fullRef>
                </c:ext>
              </c:extLst>
              <c:f>'CH colon'!$N$3:$N$7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 colon'!$X$3:$X$14</c15:sqref>
                  </c15:fullRef>
                </c:ext>
              </c:extLst>
              <c:f>'CH colon'!$X$3:$X$7</c:f>
              <c:numCache>
                <c:formatCode>h:mm</c:formatCode>
                <c:ptCount val="5"/>
                <c:pt idx="0">
                  <c:v>0.35416666666666669</c:v>
                </c:pt>
                <c:pt idx="1">
                  <c:v>0.35416666666666669</c:v>
                </c:pt>
                <c:pt idx="2">
                  <c:v>0.35416666666666669</c:v>
                </c:pt>
                <c:pt idx="3">
                  <c:v>0.35416666666666669</c:v>
                </c:pt>
                <c:pt idx="4">
                  <c:v>0.35416666666666669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A57-4795-99FB-E6DC4241DC57}"/>
            </c:ext>
          </c:extLst>
        </c:ser>
        <c:ser>
          <c:idx val="7"/>
          <c:order val="9"/>
          <c:tx>
            <c:strRef>
              <c:f>'CH colon'!$Y$2</c:f>
              <c:strCache>
                <c:ptCount val="1"/>
                <c:pt idx="0">
                  <c:v>3. Inicio de actividades AM</c:v>
                </c:pt>
              </c:strCache>
            </c:strRef>
          </c:tx>
          <c:spPr>
            <a:ln w="508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'CH colon'!$N$3:$N$7</c15:sqref>
                  </c15:fullRef>
                </c:ext>
              </c:extLst>
              <c:f>'CH colon'!$N$3:$N$7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 colon'!$Y$3:$Y$14</c15:sqref>
                  </c15:fullRef>
                </c:ext>
              </c:extLst>
              <c:f>'CH colon'!$Y$3:$Y$7</c:f>
              <c:numCache>
                <c:formatCode>h:mm</c:formatCode>
                <c:ptCount val="5"/>
                <c:pt idx="0">
                  <c:v>0.375</c:v>
                </c:pt>
                <c:pt idx="1">
                  <c:v>0.375</c:v>
                </c:pt>
                <c:pt idx="2">
                  <c:v>0.375</c:v>
                </c:pt>
                <c:pt idx="3">
                  <c:v>0.375</c:v>
                </c:pt>
                <c:pt idx="4">
                  <c:v>0.375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A57-4795-99FB-E6DC4241DC57}"/>
            </c:ext>
          </c:extLst>
        </c:ser>
        <c:ser>
          <c:idx val="8"/>
          <c:order val="10"/>
          <c:tx>
            <c:strRef>
              <c:f>'CH colon'!$Z$2</c:f>
              <c:strCache>
                <c:ptCount val="1"/>
                <c:pt idx="0">
                  <c:v>4. Término de actividades AM</c:v>
                </c:pt>
              </c:strCache>
            </c:strRef>
          </c:tx>
          <c:spPr>
            <a:ln w="508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'CH colon'!$N$3:$N$7</c15:sqref>
                  </c15:fullRef>
                </c:ext>
              </c:extLst>
              <c:f>'CH colon'!$N$3:$N$7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 colon'!$Z$3:$Z$14</c15:sqref>
                  </c15:fullRef>
                </c:ext>
              </c:extLst>
              <c:f>'CH colon'!$Z$3:$Z$7</c:f>
              <c:numCache>
                <c:formatCode>h:mm</c:formatCode>
                <c:ptCount val="5"/>
                <c:pt idx="0">
                  <c:v>0.59375</c:v>
                </c:pt>
                <c:pt idx="1">
                  <c:v>0.59375</c:v>
                </c:pt>
                <c:pt idx="2">
                  <c:v>0.59375</c:v>
                </c:pt>
                <c:pt idx="3">
                  <c:v>0.59375</c:v>
                </c:pt>
                <c:pt idx="4">
                  <c:v>0.59375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A57-4795-99FB-E6DC4241DC57}"/>
            </c:ext>
          </c:extLst>
        </c:ser>
        <c:ser>
          <c:idx val="10"/>
          <c:order val="11"/>
          <c:tx>
            <c:strRef>
              <c:f>'CH colon'!$AA$2</c:f>
              <c:strCache>
                <c:ptCount val="1"/>
                <c:pt idx="0">
                  <c:v>5. Almuerzo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'CH colon'!$N$3:$N$7</c15:sqref>
                  </c15:fullRef>
                </c:ext>
              </c:extLst>
              <c:f>'CH colon'!$N$3:$N$7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 colon'!$AA$3:$AA$7</c15:sqref>
                  </c15:fullRef>
                </c:ext>
              </c:extLst>
              <c:f>'CH colon'!$AA$3:$AA$7</c:f>
              <c:numCache>
                <c:formatCode>h:mm</c:formatCode>
                <c:ptCount val="5"/>
                <c:pt idx="0">
                  <c:v>0.61458333333333337</c:v>
                </c:pt>
                <c:pt idx="1">
                  <c:v>0.61458333333333337</c:v>
                </c:pt>
                <c:pt idx="2">
                  <c:v>0.61458333333333337</c:v>
                </c:pt>
                <c:pt idx="3">
                  <c:v>0.61458333333333337</c:v>
                </c:pt>
                <c:pt idx="4">
                  <c:v>0.61458333333333337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9D-4175-B618-9350432A1323}"/>
            </c:ext>
          </c:extLst>
        </c:ser>
        <c:ser>
          <c:idx val="14"/>
          <c:order val="12"/>
          <c:tx>
            <c:strRef>
              <c:f>'CH colon'!$AB$2</c:f>
              <c:strCache>
                <c:ptCount val="1"/>
                <c:pt idx="0">
                  <c:v>6. Inicio Actividades PM</c:v>
                </c:pt>
              </c:strCache>
            </c:strRef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'CH colon'!$N$3:$N$7</c15:sqref>
                  </c15:fullRef>
                </c:ext>
              </c:extLst>
              <c:f>'CH colon'!$N$3:$N$7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 colon'!$AB$3:$AB$14</c15:sqref>
                  </c15:fullRef>
                </c:ext>
              </c:extLst>
              <c:f>'CH colon'!$AB$3:$AB$7</c:f>
              <c:numCache>
                <c:formatCode>h:mm</c:formatCode>
                <c:ptCount val="5"/>
                <c:pt idx="0">
                  <c:v>0.63541666666666663</c:v>
                </c:pt>
                <c:pt idx="1">
                  <c:v>0.63541666666666663</c:v>
                </c:pt>
                <c:pt idx="2">
                  <c:v>0.63541666666666663</c:v>
                </c:pt>
                <c:pt idx="3">
                  <c:v>0.63541666666666663</c:v>
                </c:pt>
                <c:pt idx="4">
                  <c:v>0.63541666666666663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A57-4795-99FB-E6DC4241DC57}"/>
            </c:ext>
          </c:extLst>
        </c:ser>
        <c:ser>
          <c:idx val="19"/>
          <c:order val="13"/>
          <c:tx>
            <c:strRef>
              <c:f>'CH colon'!$AC$2</c:f>
              <c:strCache>
                <c:ptCount val="1"/>
                <c:pt idx="0">
                  <c:v>7. término Actividades PM</c:v>
                </c:pt>
              </c:strCache>
            </c:strRef>
          </c:tx>
          <c:spPr>
            <a:ln w="5080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'CH colon'!$N$3:$N$7</c15:sqref>
                  </c15:fullRef>
                </c:ext>
              </c:extLst>
              <c:f>'CH colon'!$N$3:$N$7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 colon'!$AC$3:$AC$14</c15:sqref>
                  </c15:fullRef>
                </c:ext>
              </c:extLst>
              <c:f>'CH colon'!$AC$3:$AC$7</c:f>
              <c:numCache>
                <c:formatCode>h:mm</c:formatCode>
                <c:ptCount val="5"/>
                <c:pt idx="0">
                  <c:v>0.66666666666666663</c:v>
                </c:pt>
                <c:pt idx="1">
                  <c:v>0.66666666666666663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21-40B8-A725-E65B89899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0018488"/>
        <c:axId val="620014960"/>
      </c:lineChart>
      <c:catAx>
        <c:axId val="620012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0795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20016136"/>
        <c:crossesAt val="0"/>
        <c:auto val="1"/>
        <c:lblAlgn val="ctr"/>
        <c:lblOffset val="60"/>
        <c:noMultiLvlLbl val="0"/>
      </c:catAx>
      <c:valAx>
        <c:axId val="620016136"/>
        <c:scaling>
          <c:orientation val="minMax"/>
          <c:max val="0.66800000000000015"/>
          <c:min val="0.33400000000000007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200"/>
                  <a:t>horario turno [h]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20012216"/>
        <c:crosses val="autoZero"/>
        <c:crossBetween val="between"/>
        <c:majorUnit val="4.1600000000000012E-2"/>
        <c:minorUnit val="8.3300000000000023E-3"/>
      </c:valAx>
      <c:valAx>
        <c:axId val="620014960"/>
        <c:scaling>
          <c:orientation val="minMax"/>
          <c:max val="0.68000000000000016"/>
          <c:min val="0.33400000000000007"/>
        </c:scaling>
        <c:delete val="0"/>
        <c:axPos val="r"/>
        <c:numFmt formatCode="h:mm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20018488"/>
        <c:crosses val="max"/>
        <c:crossBetween val="between"/>
        <c:majorUnit val="4.1600000000000012E-2"/>
      </c:valAx>
      <c:catAx>
        <c:axId val="6200184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200149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egendEntry>
        <c:idx val="6"/>
        <c:delete val="1"/>
      </c:legendEntry>
      <c:layout>
        <c:manualLayout>
          <c:xMode val="edge"/>
          <c:yMode val="edge"/>
          <c:x val="0.73396349538586303"/>
          <c:y val="4.2363227223204618E-2"/>
          <c:w val="0.25679428938626514"/>
          <c:h val="0.59664325885599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aseline="0">
          <a:solidFill>
            <a:schemeClr val="tx1"/>
          </a:solidFill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726410731206414E-2"/>
          <c:y val="6.881279470553453E-2"/>
          <c:w val="0.63048326774760555"/>
          <c:h val="0.827722525675281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'SUB 5'!$P$2</c:f>
              <c:strCache>
                <c:ptCount val="1"/>
                <c:pt idx="0">
                  <c:v>Llegada a instalación</c:v>
                </c:pt>
              </c:strCache>
            </c:strRef>
          </c:tx>
          <c:spPr>
            <a:solidFill>
              <a:schemeClr val="bg1"/>
            </a:solidFill>
            <a:ln w="0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'SUB 5'!$M$3:$N$7</c15:sqref>
                  </c15:fullRef>
                </c:ext>
              </c:extLst>
              <c:f>'SUB 5'!$M$3:$N$7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5'!$P$3:$P$7</c15:sqref>
                  </c15:fullRef>
                </c:ext>
              </c:extLst>
              <c:f>'SUB 5'!$P$3:$P$7</c:f>
              <c:numCache>
                <c:formatCode>h:mm</c:formatCode>
                <c:ptCount val="5"/>
                <c:pt idx="0">
                  <c:v>0.34027777777777773</c:v>
                </c:pt>
                <c:pt idx="1">
                  <c:v>0.33888888888888885</c:v>
                </c:pt>
                <c:pt idx="2">
                  <c:v>0.34027777777777773</c:v>
                </c:pt>
                <c:pt idx="3">
                  <c:v>0.34375</c:v>
                </c:pt>
                <c:pt idx="4">
                  <c:v>0.34375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7-4795-99FB-E6DC4241DC57}"/>
            </c:ext>
          </c:extLst>
        </c:ser>
        <c:ser>
          <c:idx val="1"/>
          <c:order val="1"/>
          <c:tx>
            <c:strRef>
              <c:f>'SUB 5'!$Q$2</c:f>
              <c:strCache>
                <c:ptCount val="1"/>
                <c:pt idx="0">
                  <c:v>Tiempo en instalación 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'SUB 5'!$M$3:$N$7</c15:sqref>
                  </c15:fullRef>
                </c:ext>
              </c:extLst>
              <c:f>'SUB 5'!$M$3:$N$7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5'!$Q$3:$Q$7</c15:sqref>
                  </c15:fullRef>
                </c:ext>
              </c:extLst>
              <c:f>'SUB 5'!$Q$3:$Q$7</c:f>
              <c:numCache>
                <c:formatCode>h:mm</c:formatCode>
                <c:ptCount val="5"/>
                <c:pt idx="0">
                  <c:v>2.430555555555558E-2</c:v>
                </c:pt>
                <c:pt idx="1">
                  <c:v>2.916666666666673E-2</c:v>
                </c:pt>
                <c:pt idx="2">
                  <c:v>2.6388888888888962E-2</c:v>
                </c:pt>
                <c:pt idx="3">
                  <c:v>2.7777777777777735E-2</c:v>
                </c:pt>
                <c:pt idx="4">
                  <c:v>2.6388888888888851E-2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57-4795-99FB-E6DC4241DC57}"/>
            </c:ext>
          </c:extLst>
        </c:ser>
        <c:ser>
          <c:idx val="2"/>
          <c:order val="2"/>
          <c:tx>
            <c:strRef>
              <c:f>'SUB 5'!$R$2</c:f>
              <c:strCache>
                <c:ptCount val="1"/>
                <c:pt idx="0">
                  <c:v>Traslado a postura </c:v>
                </c:pt>
              </c:strCache>
            </c:strRef>
          </c:tx>
          <c:spPr>
            <a:solidFill>
              <a:srgbClr val="FF0000"/>
            </a:solidFill>
            <a:ln cap="sq" cmpd="sng"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'SUB 5'!$M$3:$N$7</c15:sqref>
                  </c15:fullRef>
                </c:ext>
              </c:extLst>
              <c:f>'SUB 5'!$M$3:$N$7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5'!$R$3:$R$7</c15:sqref>
                  </c15:fullRef>
                </c:ext>
              </c:extLst>
              <c:f>'SUB 5'!$R$3:$R$7</c:f>
              <c:numCache>
                <c:formatCode>h:mm</c:formatCode>
                <c:ptCount val="5"/>
                <c:pt idx="0">
                  <c:v>1.1805555555555569E-2</c:v>
                </c:pt>
                <c:pt idx="1">
                  <c:v>1.1805555555555569E-2</c:v>
                </c:pt>
                <c:pt idx="2">
                  <c:v>1.1805555555555569E-2</c:v>
                </c:pt>
                <c:pt idx="3">
                  <c:v>1.1805555555555569E-2</c:v>
                </c:pt>
                <c:pt idx="4">
                  <c:v>9.7222222222222987E-3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57-4795-99FB-E6DC4241DC57}"/>
            </c:ext>
          </c:extLst>
        </c:ser>
        <c:ser>
          <c:idx val="3"/>
          <c:order val="3"/>
          <c:tx>
            <c:strRef>
              <c:f>'SUB 5'!$S$2</c:f>
              <c:strCache>
                <c:ptCount val="1"/>
                <c:pt idx="0">
                  <c:v>Tiempo disponible AM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'SUB 5'!$M$3:$N$7</c15:sqref>
                  </c15:fullRef>
                </c:ext>
              </c:extLst>
              <c:f>'SUB 5'!$M$3:$N$7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5'!$S$3:$S$7</c15:sqref>
                  </c15:fullRef>
                </c:ext>
              </c:extLst>
              <c:f>'SUB 5'!$S$3:$S$7</c:f>
              <c:numCache>
                <c:formatCode>h:mm</c:formatCode>
                <c:ptCount val="5"/>
                <c:pt idx="0">
                  <c:v>0.23819444444444449</c:v>
                </c:pt>
                <c:pt idx="1">
                  <c:v>0.22430555555555548</c:v>
                </c:pt>
                <c:pt idx="2">
                  <c:v>0.22499999999999992</c:v>
                </c:pt>
                <c:pt idx="3">
                  <c:v>0.22986111111111118</c:v>
                </c:pt>
                <c:pt idx="4">
                  <c:v>0.2277777777777778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57-4795-99FB-E6DC4241DC57}"/>
            </c:ext>
          </c:extLst>
        </c:ser>
        <c:ser>
          <c:idx val="9"/>
          <c:order val="4"/>
          <c:tx>
            <c:strRef>
              <c:f>'SUB 5'!$T$2</c:f>
              <c:strCache>
                <c:ptCount val="1"/>
                <c:pt idx="0">
                  <c:v>Traslado Colación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'SUB 5'!$M$3:$N$7</c15:sqref>
                  </c15:fullRef>
                </c:ext>
              </c:extLst>
              <c:f>'SUB 5'!$M$3:$N$7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5'!$T$3:$T$7</c15:sqref>
                  </c15:fullRef>
                </c:ext>
              </c:extLst>
              <c:f>'SUB 5'!$T$3:$T$7</c:f>
              <c:numCache>
                <c:formatCode>h:mm</c:formatCode>
                <c:ptCount val="5"/>
                <c:pt idx="0">
                  <c:v>6.9444444444444198E-3</c:v>
                </c:pt>
                <c:pt idx="1">
                  <c:v>6.9444444444444198E-3</c:v>
                </c:pt>
                <c:pt idx="2">
                  <c:v>4.1666666666667629E-3</c:v>
                </c:pt>
                <c:pt idx="3">
                  <c:v>4.8611111111110938E-3</c:v>
                </c:pt>
                <c:pt idx="4">
                  <c:v>6.9444444444444198E-3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86-4E32-8323-39486EF882BE}"/>
            </c:ext>
          </c:extLst>
        </c:ser>
        <c:ser>
          <c:idx val="4"/>
          <c:order val="5"/>
          <c:tx>
            <c:strRef>
              <c:f>'SUB 5'!$U$2</c:f>
              <c:strCache>
                <c:ptCount val="1"/>
                <c:pt idx="0">
                  <c:v>Almuerzo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'SUB 5'!$M$3:$N$7</c15:sqref>
                  </c15:fullRef>
                </c:ext>
              </c:extLst>
              <c:f>'SUB 5'!$M$3:$N$7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5'!$U$3:$U$7</c15:sqref>
                  </c15:fullRef>
                </c:ext>
              </c:extLst>
              <c:f>'SUB 5'!$U$3:$U$7</c:f>
              <c:numCache>
                <c:formatCode>h:mm</c:formatCode>
                <c:ptCount val="5"/>
                <c:pt idx="0">
                  <c:v>2.430555555555558E-2</c:v>
                </c:pt>
                <c:pt idx="1">
                  <c:v>3.125E-2</c:v>
                </c:pt>
                <c:pt idx="2">
                  <c:v>2.6388888888888795E-2</c:v>
                </c:pt>
                <c:pt idx="3">
                  <c:v>2.4305555555555469E-2</c:v>
                </c:pt>
                <c:pt idx="4">
                  <c:v>2.7777777777777679E-2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57-4795-99FB-E6DC4241DC57}"/>
            </c:ext>
          </c:extLst>
        </c:ser>
        <c:ser>
          <c:idx val="12"/>
          <c:order val="6"/>
          <c:tx>
            <c:strRef>
              <c:f>'SUB 5'!$V$2</c:f>
              <c:strCache>
                <c:ptCount val="1"/>
                <c:pt idx="0">
                  <c:v>Tiempo disponible PM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'SUB 5'!$M$3:$N$7</c15:sqref>
                  </c15:fullRef>
                </c:ext>
              </c:extLst>
              <c:f>'SUB 5'!$M$3:$N$7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5'!$V$3:$V$7</c15:sqref>
                  </c15:fullRef>
                </c:ext>
              </c:extLst>
              <c:f>'SUB 5'!$V$3:$V$7</c:f>
              <c:numCache>
                <c:formatCode>h:mm</c:formatCode>
                <c:ptCount val="5"/>
                <c:pt idx="0">
                  <c:v>1.388888888888884E-2</c:v>
                </c:pt>
                <c:pt idx="1">
                  <c:v>1.736111111111116E-2</c:v>
                </c:pt>
                <c:pt idx="2">
                  <c:v>2.5694444444444464E-2</c:v>
                </c:pt>
                <c:pt idx="3">
                  <c:v>1.736111111111116E-2</c:v>
                </c:pt>
                <c:pt idx="4">
                  <c:v>1.736111111111116E-2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57-4795-99FB-E6DC4241D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445917160"/>
        <c:axId val="445918336"/>
      </c:barChart>
      <c:lineChart>
        <c:grouping val="standard"/>
        <c:varyColors val="0"/>
        <c:ser>
          <c:idx val="5"/>
          <c:order val="7"/>
          <c:tx>
            <c:strRef>
              <c:f>'SUB 5'!$W$2</c:f>
              <c:strCache>
                <c:ptCount val="1"/>
                <c:pt idx="0">
                  <c:v>1. Llegada a instalación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'SUB 5'!$N$3:$N$7</c15:sqref>
                  </c15:fullRef>
                </c:ext>
              </c:extLst>
              <c:f>'SUB 5'!$N$3:$N$7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5'!$W$3:$W$14</c15:sqref>
                  </c15:fullRef>
                </c:ext>
              </c:extLst>
              <c:f>'SUB 5'!$W$3:$W$7</c:f>
              <c:numCache>
                <c:formatCode>h:mm</c:formatCode>
                <c:ptCount val="5"/>
                <c:pt idx="0">
                  <c:v>0.33333333333333331</c:v>
                </c:pt>
                <c:pt idx="1">
                  <c:v>0.33333333333333331</c:v>
                </c:pt>
                <c:pt idx="2">
                  <c:v>0.33333333333333331</c:v>
                </c:pt>
                <c:pt idx="3">
                  <c:v>0.33333333333333331</c:v>
                </c:pt>
                <c:pt idx="4">
                  <c:v>0.33333333333333331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A57-4795-99FB-E6DC4241DC57}"/>
            </c:ext>
          </c:extLst>
        </c:ser>
        <c:ser>
          <c:idx val="6"/>
          <c:order val="8"/>
          <c:tx>
            <c:strRef>
              <c:f>'SUB 5'!$X$2</c:f>
              <c:strCache>
                <c:ptCount val="1"/>
                <c:pt idx="0">
                  <c:v>2. Salida de instalación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'SUB 5'!$N$3:$N$7</c15:sqref>
                  </c15:fullRef>
                </c:ext>
              </c:extLst>
              <c:f>'SUB 5'!$N$3:$N$7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5'!$X$3:$X$14</c15:sqref>
                  </c15:fullRef>
                </c:ext>
              </c:extLst>
              <c:f>'SUB 5'!$X$3:$X$7</c:f>
              <c:numCache>
                <c:formatCode>h:mm</c:formatCode>
                <c:ptCount val="5"/>
                <c:pt idx="0">
                  <c:v>0.35416666666666669</c:v>
                </c:pt>
                <c:pt idx="1">
                  <c:v>0.35416666666666669</c:v>
                </c:pt>
                <c:pt idx="2">
                  <c:v>0.35416666666666669</c:v>
                </c:pt>
                <c:pt idx="3">
                  <c:v>0.35416666666666669</c:v>
                </c:pt>
                <c:pt idx="4">
                  <c:v>0.35416666666666669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A57-4795-99FB-E6DC4241DC57}"/>
            </c:ext>
          </c:extLst>
        </c:ser>
        <c:ser>
          <c:idx val="7"/>
          <c:order val="9"/>
          <c:tx>
            <c:strRef>
              <c:f>'SUB 5'!$Y$2</c:f>
              <c:strCache>
                <c:ptCount val="1"/>
                <c:pt idx="0">
                  <c:v>3. Inicio de actividades AM</c:v>
                </c:pt>
              </c:strCache>
            </c:strRef>
          </c:tx>
          <c:spPr>
            <a:ln w="508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'SUB 5'!$N$3:$N$7</c15:sqref>
                  </c15:fullRef>
                </c:ext>
              </c:extLst>
              <c:f>'SUB 5'!$N$3:$N$7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5'!$Y$3:$Y$14</c15:sqref>
                  </c15:fullRef>
                </c:ext>
              </c:extLst>
              <c:f>'SUB 5'!$Y$3:$Y$7</c:f>
              <c:numCache>
                <c:formatCode>h:mm</c:formatCode>
                <c:ptCount val="5"/>
                <c:pt idx="0">
                  <c:v>0.375</c:v>
                </c:pt>
                <c:pt idx="1">
                  <c:v>0.375</c:v>
                </c:pt>
                <c:pt idx="2">
                  <c:v>0.375</c:v>
                </c:pt>
                <c:pt idx="3">
                  <c:v>0.375</c:v>
                </c:pt>
                <c:pt idx="4">
                  <c:v>0.375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A57-4795-99FB-E6DC4241DC57}"/>
            </c:ext>
          </c:extLst>
        </c:ser>
        <c:ser>
          <c:idx val="8"/>
          <c:order val="10"/>
          <c:tx>
            <c:strRef>
              <c:f>'SUB 5'!$Z$2</c:f>
              <c:strCache>
                <c:ptCount val="1"/>
                <c:pt idx="0">
                  <c:v>4. Término de actividades AM</c:v>
                </c:pt>
              </c:strCache>
            </c:strRef>
          </c:tx>
          <c:spPr>
            <a:ln w="508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'SUB 5'!$N$3:$N$7</c15:sqref>
                  </c15:fullRef>
                </c:ext>
              </c:extLst>
              <c:f>'SUB 5'!$N$3:$N$7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5'!$Z$3:$Z$14</c15:sqref>
                  </c15:fullRef>
                </c:ext>
              </c:extLst>
              <c:f>'SUB 5'!$Z$3:$Z$7</c:f>
              <c:numCache>
                <c:formatCode>h:mm</c:formatCode>
                <c:ptCount val="5"/>
                <c:pt idx="0">
                  <c:v>0.59375</c:v>
                </c:pt>
                <c:pt idx="1">
                  <c:v>0.59375</c:v>
                </c:pt>
                <c:pt idx="2">
                  <c:v>0.59375</c:v>
                </c:pt>
                <c:pt idx="3">
                  <c:v>0.59375</c:v>
                </c:pt>
                <c:pt idx="4">
                  <c:v>0.59375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A57-4795-99FB-E6DC4241DC57}"/>
            </c:ext>
          </c:extLst>
        </c:ser>
        <c:ser>
          <c:idx val="10"/>
          <c:order val="11"/>
          <c:tx>
            <c:strRef>
              <c:f>'SUB 5'!$AA$2</c:f>
              <c:strCache>
                <c:ptCount val="1"/>
                <c:pt idx="0">
                  <c:v>5. Almuerzo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'SUB 5'!$N$3:$N$7</c15:sqref>
                  </c15:fullRef>
                </c:ext>
              </c:extLst>
              <c:f>'SUB 5'!$N$3:$N$7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5'!$AA$3:$AA$7</c15:sqref>
                  </c15:fullRef>
                </c:ext>
              </c:extLst>
              <c:f>'SUB 5'!$AA$3:$AA$7</c:f>
              <c:numCache>
                <c:formatCode>h:mm</c:formatCode>
                <c:ptCount val="5"/>
                <c:pt idx="0">
                  <c:v>0.61458333333333337</c:v>
                </c:pt>
                <c:pt idx="1">
                  <c:v>0.61458333333333337</c:v>
                </c:pt>
                <c:pt idx="2">
                  <c:v>0.61458333333333337</c:v>
                </c:pt>
                <c:pt idx="3">
                  <c:v>0.61458333333333337</c:v>
                </c:pt>
                <c:pt idx="4">
                  <c:v>0.61458333333333337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C7-4019-B9A3-73A85F5DDD09}"/>
            </c:ext>
          </c:extLst>
        </c:ser>
        <c:ser>
          <c:idx val="14"/>
          <c:order val="12"/>
          <c:tx>
            <c:strRef>
              <c:f>'SUB 5'!$AB$2</c:f>
              <c:strCache>
                <c:ptCount val="1"/>
                <c:pt idx="0">
                  <c:v>6. Inicio Actividades PM</c:v>
                </c:pt>
              </c:strCache>
            </c:strRef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'SUB 5'!$N$3:$N$7</c15:sqref>
                  </c15:fullRef>
                </c:ext>
              </c:extLst>
              <c:f>'SUB 5'!$N$3:$N$7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5'!$AB$3:$AB$14</c15:sqref>
                  </c15:fullRef>
                </c:ext>
              </c:extLst>
              <c:f>'SUB 5'!$AB$3:$AB$7</c:f>
              <c:numCache>
                <c:formatCode>h:mm</c:formatCode>
                <c:ptCount val="5"/>
                <c:pt idx="0">
                  <c:v>0.63541666666666663</c:v>
                </c:pt>
                <c:pt idx="1">
                  <c:v>0.63541666666666663</c:v>
                </c:pt>
                <c:pt idx="2">
                  <c:v>0.63541666666666663</c:v>
                </c:pt>
                <c:pt idx="3">
                  <c:v>0.63541666666666663</c:v>
                </c:pt>
                <c:pt idx="4">
                  <c:v>0.63541666666666663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A57-4795-99FB-E6DC4241DC57}"/>
            </c:ext>
          </c:extLst>
        </c:ser>
        <c:ser>
          <c:idx val="19"/>
          <c:order val="13"/>
          <c:tx>
            <c:strRef>
              <c:f>'SUB 5'!$AC$2</c:f>
              <c:strCache>
                <c:ptCount val="1"/>
                <c:pt idx="0">
                  <c:v>7. término Actividades PM</c:v>
                </c:pt>
              </c:strCache>
            </c:strRef>
          </c:tx>
          <c:spPr>
            <a:ln w="5080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'SUB 5'!$N$3:$N$7</c15:sqref>
                  </c15:fullRef>
                </c:ext>
              </c:extLst>
              <c:f>'SUB 5'!$N$3:$N$7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5'!$AC$3:$AC$14</c15:sqref>
                  </c15:fullRef>
                </c:ext>
              </c:extLst>
              <c:f>'SUB 5'!$AC$3:$AC$7</c:f>
              <c:numCache>
                <c:formatCode>h:mm</c:formatCode>
                <c:ptCount val="5"/>
                <c:pt idx="0">
                  <c:v>0.66666666666666663</c:v>
                </c:pt>
                <c:pt idx="1">
                  <c:v>0.66666666666666663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21-40B8-A725-E65B89899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5919120"/>
        <c:axId val="445918728"/>
      </c:lineChart>
      <c:catAx>
        <c:axId val="445917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0795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45918336"/>
        <c:crossesAt val="0"/>
        <c:auto val="1"/>
        <c:lblAlgn val="ctr"/>
        <c:lblOffset val="60"/>
        <c:noMultiLvlLbl val="0"/>
      </c:catAx>
      <c:valAx>
        <c:axId val="445918336"/>
        <c:scaling>
          <c:orientation val="minMax"/>
          <c:max val="0.66800000000000015"/>
          <c:min val="0.33400000000000007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200"/>
                  <a:t>horario turno [h]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45917160"/>
        <c:crosses val="autoZero"/>
        <c:crossBetween val="between"/>
        <c:majorUnit val="4.1600000000000012E-2"/>
        <c:minorUnit val="8.3300000000000023E-3"/>
      </c:valAx>
      <c:valAx>
        <c:axId val="445918728"/>
        <c:scaling>
          <c:orientation val="minMax"/>
          <c:max val="1"/>
          <c:min val="0.66800000000000015"/>
        </c:scaling>
        <c:delete val="0"/>
        <c:axPos val="r"/>
        <c:numFmt formatCode="h:mm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45919120"/>
        <c:crosses val="max"/>
        <c:crossBetween val="between"/>
        <c:majorUnit val="4.1600000000000012E-2"/>
      </c:valAx>
      <c:catAx>
        <c:axId val="4459191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5918728"/>
        <c:crosses val="autoZero"/>
        <c:auto val="1"/>
        <c:lblAlgn val="ctr"/>
        <c:lblOffset val="100"/>
        <c:noMultiLvlLbl val="0"/>
      </c:catAx>
      <c:spPr>
        <a:solidFill>
          <a:schemeClr val="bg1">
            <a:lumMod val="95000"/>
          </a:schemeClr>
        </a:solidFill>
        <a:ln w="180975"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r"/>
      <c:legendEntry>
        <c:idx val="6"/>
        <c:delete val="1"/>
      </c:legendEntry>
      <c:layout>
        <c:manualLayout>
          <c:xMode val="edge"/>
          <c:yMode val="edge"/>
          <c:x val="0.72986677576520786"/>
          <c:y val="4.9301346418516911E-2"/>
          <c:w val="0.26817640142627924"/>
          <c:h val="0.5225030631535718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aseline="0">
          <a:solidFill>
            <a:schemeClr val="tx1"/>
          </a:solidFill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726410731206414E-2"/>
          <c:y val="6.881279470553453E-2"/>
          <c:w val="0.63048326774760555"/>
          <c:h val="0.827722525675281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'SUB 6'!$P$2</c:f>
              <c:strCache>
                <c:ptCount val="1"/>
                <c:pt idx="0">
                  <c:v>Llegada a instalación</c:v>
                </c:pt>
              </c:strCache>
            </c:strRef>
          </c:tx>
          <c:spPr>
            <a:solidFill>
              <a:schemeClr val="bg1"/>
            </a:solidFill>
            <a:ln w="0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'SUB 6'!$M$3:$N$7</c15:sqref>
                  </c15:fullRef>
                </c:ext>
              </c:extLst>
              <c:f>'SUB 6'!$M$3:$N$7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6'!$P$3:$P$7</c15:sqref>
                  </c15:fullRef>
                </c:ext>
              </c:extLst>
              <c:f>'SUB 6'!$P$3:$P$7</c:f>
              <c:numCache>
                <c:formatCode>h:mm</c:formatCode>
                <c:ptCount val="5"/>
                <c:pt idx="0">
                  <c:v>0.67361111111111116</c:v>
                </c:pt>
                <c:pt idx="1">
                  <c:v>0.67361111111111116</c:v>
                </c:pt>
                <c:pt idx="2">
                  <c:v>0.67361111111111116</c:v>
                </c:pt>
                <c:pt idx="3">
                  <c:v>0.67361111111111116</c:v>
                </c:pt>
                <c:pt idx="4">
                  <c:v>0.67361111111111116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7-4795-99FB-E6DC4241DC57}"/>
            </c:ext>
          </c:extLst>
        </c:ser>
        <c:ser>
          <c:idx val="1"/>
          <c:order val="1"/>
          <c:tx>
            <c:strRef>
              <c:f>'SUB 6'!$Q$2</c:f>
              <c:strCache>
                <c:ptCount val="1"/>
                <c:pt idx="0">
                  <c:v>Tiempo en instalación 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'SUB 6'!$M$3:$N$7</c15:sqref>
                  </c15:fullRef>
                </c:ext>
              </c:extLst>
              <c:f>'SUB 6'!$M$3:$N$7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6'!$Q$3:$Q$7</c15:sqref>
                  </c15:fullRef>
                </c:ext>
              </c:extLst>
              <c:f>'SUB 6'!$Q$3:$Q$7</c:f>
              <c:numCache>
                <c:formatCode>h:mm</c:formatCode>
                <c:ptCount val="5"/>
                <c:pt idx="0">
                  <c:v>1.041666666666663E-2</c:v>
                </c:pt>
                <c:pt idx="1">
                  <c:v>1.388888888888884E-2</c:v>
                </c:pt>
                <c:pt idx="2">
                  <c:v>3.4722222222222099E-3</c:v>
                </c:pt>
                <c:pt idx="3">
                  <c:v>6.9444444444443088E-3</c:v>
                </c:pt>
                <c:pt idx="4">
                  <c:v>1.7361111111111049E-2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57-4795-99FB-E6DC4241DC57}"/>
            </c:ext>
          </c:extLst>
        </c:ser>
        <c:ser>
          <c:idx val="2"/>
          <c:order val="2"/>
          <c:tx>
            <c:strRef>
              <c:f>'SUB 6'!$R$2</c:f>
              <c:strCache>
                <c:ptCount val="1"/>
                <c:pt idx="0">
                  <c:v>Traslado a postura </c:v>
                </c:pt>
              </c:strCache>
            </c:strRef>
          </c:tx>
          <c:spPr>
            <a:solidFill>
              <a:srgbClr val="FF0000"/>
            </a:solidFill>
            <a:ln cap="sq" cmpd="sng"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'SUB 6'!$M$3:$N$7</c15:sqref>
                  </c15:fullRef>
                </c:ext>
              </c:extLst>
              <c:f>'SUB 6'!$M$3:$N$7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6'!$R$3:$R$7</c15:sqref>
                  </c15:fullRef>
                </c:ext>
              </c:extLst>
              <c:f>'SUB 6'!$R$3:$R$7</c:f>
              <c:numCache>
                <c:formatCode>h:mm</c:formatCode>
                <c:ptCount val="5"/>
                <c:pt idx="0">
                  <c:v>2.083333333333337E-2</c:v>
                </c:pt>
                <c:pt idx="1">
                  <c:v>2.777777777777779E-2</c:v>
                </c:pt>
                <c:pt idx="2">
                  <c:v>3.4722222222222099E-2</c:v>
                </c:pt>
                <c:pt idx="3">
                  <c:v>3.8194444444444531E-2</c:v>
                </c:pt>
                <c:pt idx="4">
                  <c:v>2.430555555555558E-2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57-4795-99FB-E6DC4241DC57}"/>
            </c:ext>
          </c:extLst>
        </c:ser>
        <c:ser>
          <c:idx val="3"/>
          <c:order val="3"/>
          <c:tx>
            <c:strRef>
              <c:f>'SUB 6'!$S$2</c:f>
              <c:strCache>
                <c:ptCount val="1"/>
                <c:pt idx="0">
                  <c:v>Tiempo disponible AM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'SUB 6'!$M$3:$N$7</c15:sqref>
                  </c15:fullRef>
                </c:ext>
              </c:extLst>
              <c:f>'SUB 6'!$M$3:$N$7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6'!$S$3:$S$7</c15:sqref>
                  </c15:fullRef>
                </c:ext>
              </c:extLst>
              <c:f>'SUB 6'!$S$3:$S$7</c:f>
              <c:numCache>
                <c:formatCode>h:mm</c:formatCode>
                <c:ptCount val="5"/>
                <c:pt idx="0">
                  <c:v>0.22569444444444431</c:v>
                </c:pt>
                <c:pt idx="1">
                  <c:v>0.21736111111111112</c:v>
                </c:pt>
                <c:pt idx="2">
                  <c:v>0.22916666666666674</c:v>
                </c:pt>
                <c:pt idx="3">
                  <c:v>0.22569444444444453</c:v>
                </c:pt>
                <c:pt idx="4">
                  <c:v>0.22222222222222221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57-4795-99FB-E6DC4241DC57}"/>
            </c:ext>
          </c:extLst>
        </c:ser>
        <c:ser>
          <c:idx val="9"/>
          <c:order val="4"/>
          <c:tx>
            <c:strRef>
              <c:f>'SUB 6'!$T$2</c:f>
              <c:strCache>
                <c:ptCount val="1"/>
                <c:pt idx="0">
                  <c:v>Traslado Colación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'SUB 6'!$M$3:$N$7</c15:sqref>
                  </c15:fullRef>
                </c:ext>
              </c:extLst>
              <c:f>'SUB 6'!$M$3:$N$7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6'!$T$3:$T$7</c15:sqref>
                  </c15:fullRef>
                </c:ext>
              </c:extLst>
              <c:f>'SUB 6'!$T$3:$T$7</c:f>
              <c:numCache>
                <c:formatCode>h:mm</c:formatCode>
                <c:ptCount val="5"/>
                <c:pt idx="0">
                  <c:v>3.4722222222223209E-3</c:v>
                </c:pt>
                <c:pt idx="1">
                  <c:v>4.8611111111110938E-3</c:v>
                </c:pt>
                <c:pt idx="2">
                  <c:v>1.041666666666663E-2</c:v>
                </c:pt>
                <c:pt idx="3">
                  <c:v>3.4722222222220989E-3</c:v>
                </c:pt>
                <c:pt idx="4">
                  <c:v>1.041666666666663E-2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86-4E32-8323-39486EF882BE}"/>
            </c:ext>
          </c:extLst>
        </c:ser>
        <c:ser>
          <c:idx val="4"/>
          <c:order val="5"/>
          <c:tx>
            <c:strRef>
              <c:f>'SUB 6'!$U$2</c:f>
              <c:strCache>
                <c:ptCount val="1"/>
                <c:pt idx="0">
                  <c:v>Almuerzo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'SUB 6'!$M$3:$N$7</c15:sqref>
                  </c15:fullRef>
                </c:ext>
              </c:extLst>
              <c:f>'SUB 6'!$M$3:$N$7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6'!$U$3:$U$7</c15:sqref>
                  </c15:fullRef>
                </c:ext>
              </c:extLst>
              <c:f>'SUB 6'!$U$3:$U$7</c:f>
              <c:numCache>
                <c:formatCode>h:mm</c:formatCode>
                <c:ptCount val="5"/>
                <c:pt idx="0">
                  <c:v>2.7777777777777679E-2</c:v>
                </c:pt>
                <c:pt idx="1">
                  <c:v>2.4305555555555469E-2</c:v>
                </c:pt>
                <c:pt idx="2">
                  <c:v>2.777777777777779E-2</c:v>
                </c:pt>
                <c:pt idx="3">
                  <c:v>2.083333333333337E-2</c:v>
                </c:pt>
                <c:pt idx="4">
                  <c:v>2.083333333333337E-2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57-4795-99FB-E6DC4241DC57}"/>
            </c:ext>
          </c:extLst>
        </c:ser>
        <c:ser>
          <c:idx val="12"/>
          <c:order val="6"/>
          <c:tx>
            <c:strRef>
              <c:f>'SUB 6'!$V$2</c:f>
              <c:strCache>
                <c:ptCount val="1"/>
                <c:pt idx="0">
                  <c:v>Tiempo disponible PM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'SUB 6'!$M$3:$N$7</c15:sqref>
                  </c15:fullRef>
                </c:ext>
              </c:extLst>
              <c:f>'SUB 6'!$M$3:$N$7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6'!$V$3:$V$7</c15:sqref>
                  </c15:fullRef>
                </c:ext>
              </c:extLst>
              <c:f>'SUB 6'!$V$3:$V$7</c:f>
              <c:numCache>
                <c:formatCode>h:mm</c:formatCode>
                <c:ptCount val="5"/>
                <c:pt idx="0">
                  <c:v>3.125E-2</c:v>
                </c:pt>
                <c:pt idx="1">
                  <c:v>3.125E-2</c:v>
                </c:pt>
                <c:pt idx="2">
                  <c:v>1.388888888888884E-2</c:v>
                </c:pt>
                <c:pt idx="3">
                  <c:v>2.4305555555555469E-2</c:v>
                </c:pt>
                <c:pt idx="4">
                  <c:v>2.4305555555555469E-2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57-4795-99FB-E6DC4241D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445919904"/>
        <c:axId val="445920296"/>
      </c:barChart>
      <c:lineChart>
        <c:grouping val="standard"/>
        <c:varyColors val="0"/>
        <c:ser>
          <c:idx val="5"/>
          <c:order val="7"/>
          <c:tx>
            <c:strRef>
              <c:f>'SUB 6'!$W$2</c:f>
              <c:strCache>
                <c:ptCount val="1"/>
                <c:pt idx="0">
                  <c:v>1. Llegada a instalación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'SUB 6'!$N$3:$N$7</c15:sqref>
                  </c15:fullRef>
                </c:ext>
              </c:extLst>
              <c:f>'SUB 6'!$N$3:$N$7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6'!$W$3:$W$14</c15:sqref>
                  </c15:fullRef>
                </c:ext>
              </c:extLst>
              <c:f>'SUB 6'!$W$3:$W$7</c:f>
              <c:numCache>
                <c:formatCode>h:mm</c:formatCode>
                <c:ptCount val="5"/>
                <c:pt idx="0">
                  <c:v>0.66666666666666663</c:v>
                </c:pt>
                <c:pt idx="1">
                  <c:v>0.66666666666666663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A57-4795-99FB-E6DC4241DC57}"/>
            </c:ext>
          </c:extLst>
        </c:ser>
        <c:ser>
          <c:idx val="6"/>
          <c:order val="8"/>
          <c:tx>
            <c:strRef>
              <c:f>'SUB 6'!$X$2</c:f>
              <c:strCache>
                <c:ptCount val="1"/>
                <c:pt idx="0">
                  <c:v>2. Salida de instalación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'SUB 6'!$N$3:$N$7</c15:sqref>
                  </c15:fullRef>
                </c:ext>
              </c:extLst>
              <c:f>'SUB 6'!$N$3:$N$7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6'!$X$3:$X$14</c15:sqref>
                  </c15:fullRef>
                </c:ext>
              </c:extLst>
              <c:f>'SUB 6'!$X$3:$X$7</c:f>
              <c:numCache>
                <c:formatCode>h:mm</c:formatCode>
                <c:ptCount val="5"/>
                <c:pt idx="0">
                  <c:v>0.6875</c:v>
                </c:pt>
                <c:pt idx="1">
                  <c:v>0.6875</c:v>
                </c:pt>
                <c:pt idx="2">
                  <c:v>0.6875</c:v>
                </c:pt>
                <c:pt idx="3">
                  <c:v>0.6875</c:v>
                </c:pt>
                <c:pt idx="4">
                  <c:v>0.6875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A57-4795-99FB-E6DC4241DC57}"/>
            </c:ext>
          </c:extLst>
        </c:ser>
        <c:ser>
          <c:idx val="7"/>
          <c:order val="9"/>
          <c:tx>
            <c:strRef>
              <c:f>'SUB 6'!$Y$2</c:f>
              <c:strCache>
                <c:ptCount val="1"/>
                <c:pt idx="0">
                  <c:v>3. Inicio de actividades AM</c:v>
                </c:pt>
              </c:strCache>
            </c:strRef>
          </c:tx>
          <c:spPr>
            <a:ln w="508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'SUB 6'!$N$3:$N$7</c15:sqref>
                  </c15:fullRef>
                </c:ext>
              </c:extLst>
              <c:f>'SUB 6'!$N$3:$N$7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6'!$Y$3:$Y$14</c15:sqref>
                  </c15:fullRef>
                </c:ext>
              </c:extLst>
              <c:f>'SUB 6'!$Y$3:$Y$7</c:f>
              <c:numCache>
                <c:formatCode>h:mm</c:formatCode>
                <c:ptCount val="5"/>
                <c:pt idx="0">
                  <c:v>0.69791666666666663</c:v>
                </c:pt>
                <c:pt idx="1">
                  <c:v>0.69791666666666663</c:v>
                </c:pt>
                <c:pt idx="2">
                  <c:v>0.69791666666666663</c:v>
                </c:pt>
                <c:pt idx="3">
                  <c:v>0.69791666666666663</c:v>
                </c:pt>
                <c:pt idx="4">
                  <c:v>0.69791666666666663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A57-4795-99FB-E6DC4241DC57}"/>
            </c:ext>
          </c:extLst>
        </c:ser>
        <c:ser>
          <c:idx val="8"/>
          <c:order val="10"/>
          <c:tx>
            <c:strRef>
              <c:f>'SUB 6'!$Z$2</c:f>
              <c:strCache>
                <c:ptCount val="1"/>
                <c:pt idx="0">
                  <c:v>4. Término de actividades AM</c:v>
                </c:pt>
              </c:strCache>
            </c:strRef>
          </c:tx>
          <c:spPr>
            <a:ln w="508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'SUB 6'!$N$3:$N$7</c15:sqref>
                  </c15:fullRef>
                </c:ext>
              </c:extLst>
              <c:f>'SUB 6'!$N$3:$N$7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6'!$Z$3:$Z$14</c15:sqref>
                  </c15:fullRef>
                </c:ext>
              </c:extLst>
              <c:f>'SUB 6'!$Z$3:$Z$7</c:f>
              <c:numCache>
                <c:formatCode>h:mm</c:formatCode>
                <c:ptCount val="5"/>
                <c:pt idx="0">
                  <c:v>0.70486111111111116</c:v>
                </c:pt>
                <c:pt idx="1">
                  <c:v>0.70486111111111116</c:v>
                </c:pt>
                <c:pt idx="2">
                  <c:v>0.70486111111111116</c:v>
                </c:pt>
                <c:pt idx="3">
                  <c:v>0.70486111111111116</c:v>
                </c:pt>
                <c:pt idx="4">
                  <c:v>0.70486111111111116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A57-4795-99FB-E6DC4241DC57}"/>
            </c:ext>
          </c:extLst>
        </c:ser>
        <c:ser>
          <c:idx val="10"/>
          <c:order val="11"/>
          <c:tx>
            <c:strRef>
              <c:f>'SUB 6'!$AA$2</c:f>
              <c:strCache>
                <c:ptCount val="1"/>
                <c:pt idx="0">
                  <c:v>5. Almuerzo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'SUB 6'!$N$3:$N$7</c15:sqref>
                  </c15:fullRef>
                </c:ext>
              </c:extLst>
              <c:f>'SUB 6'!$N$3:$N$7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6'!$AA$3:$AA$7</c15:sqref>
                  </c15:fullRef>
                </c:ext>
              </c:extLst>
              <c:f>'SUB 6'!$AA$3:$AA$7</c:f>
              <c:numCache>
                <c:formatCode>h:mm</c:formatCode>
                <c:ptCount val="5"/>
                <c:pt idx="0">
                  <c:v>0.95486111111111116</c:v>
                </c:pt>
                <c:pt idx="1">
                  <c:v>0.95486111111111116</c:v>
                </c:pt>
                <c:pt idx="2">
                  <c:v>0.95486111111111116</c:v>
                </c:pt>
                <c:pt idx="3">
                  <c:v>0.95486111111111116</c:v>
                </c:pt>
                <c:pt idx="4">
                  <c:v>0.95486111111111116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C7-4019-B9A3-73A85F5DDD09}"/>
            </c:ext>
          </c:extLst>
        </c:ser>
        <c:ser>
          <c:idx val="14"/>
          <c:order val="12"/>
          <c:tx>
            <c:strRef>
              <c:f>'SUB 6'!$AB$2</c:f>
              <c:strCache>
                <c:ptCount val="1"/>
                <c:pt idx="0">
                  <c:v>6. Inicio Actividades PM</c:v>
                </c:pt>
              </c:strCache>
            </c:strRef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'SUB 6'!$N$3:$N$7</c15:sqref>
                  </c15:fullRef>
                </c:ext>
              </c:extLst>
              <c:f>'SUB 6'!$N$3:$N$7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6'!$AB$3:$AB$14</c15:sqref>
                  </c15:fullRef>
                </c:ext>
              </c:extLst>
              <c:f>'SUB 6'!$AB$3:$AB$7</c:f>
              <c:numCache>
                <c:formatCode>h:mm</c:formatCode>
                <c:ptCount val="5"/>
                <c:pt idx="0">
                  <c:v>0.96180555555555547</c:v>
                </c:pt>
                <c:pt idx="1">
                  <c:v>0.96180555555555547</c:v>
                </c:pt>
                <c:pt idx="2">
                  <c:v>0.96180555555555547</c:v>
                </c:pt>
                <c:pt idx="3">
                  <c:v>0.96180555555555547</c:v>
                </c:pt>
                <c:pt idx="4">
                  <c:v>0.96180555555555547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A57-4795-99FB-E6DC4241DC57}"/>
            </c:ext>
          </c:extLst>
        </c:ser>
        <c:ser>
          <c:idx val="19"/>
          <c:order val="13"/>
          <c:tx>
            <c:strRef>
              <c:f>'SUB 6'!$AC$2</c:f>
              <c:strCache>
                <c:ptCount val="1"/>
              </c:strCache>
            </c:strRef>
          </c:tx>
          <c:spPr>
            <a:ln w="5080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'SUB 6'!$N$3:$N$7</c15:sqref>
                  </c15:fullRef>
                </c:ext>
              </c:extLst>
              <c:f>'SUB 6'!$N$3:$N$7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6'!$AC$3:$AC$14</c15:sqref>
                  </c15:fullRef>
                </c:ext>
              </c:extLst>
              <c:f>'SUB 6'!$AC$3:$AC$7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21-40B8-A725-E65B89899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5921080"/>
        <c:axId val="445920688"/>
      </c:lineChart>
      <c:catAx>
        <c:axId val="445919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0795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45920296"/>
        <c:crossesAt val="0"/>
        <c:auto val="1"/>
        <c:lblAlgn val="ctr"/>
        <c:lblOffset val="60"/>
        <c:noMultiLvlLbl val="0"/>
      </c:catAx>
      <c:valAx>
        <c:axId val="445920296"/>
        <c:scaling>
          <c:orientation val="minMax"/>
          <c:max val="0.996"/>
          <c:min val="0.6680000000000001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200"/>
                  <a:t>horario turno [h]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45919904"/>
        <c:crosses val="autoZero"/>
        <c:crossBetween val="between"/>
        <c:majorUnit val="4.1600000000000012E-2"/>
        <c:minorUnit val="8.3300000000000023E-3"/>
      </c:valAx>
      <c:valAx>
        <c:axId val="445920688"/>
        <c:scaling>
          <c:orientation val="minMax"/>
          <c:max val="0.68000000000000016"/>
          <c:min val="0.33400000000000007"/>
        </c:scaling>
        <c:delete val="0"/>
        <c:axPos val="r"/>
        <c:numFmt formatCode="h:mm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45921080"/>
        <c:crosses val="max"/>
        <c:crossBetween val="between"/>
        <c:majorUnit val="4.1600000000000012E-2"/>
      </c:valAx>
      <c:catAx>
        <c:axId val="4459210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5920688"/>
        <c:crosses val="autoZero"/>
        <c:auto val="1"/>
        <c:lblAlgn val="ctr"/>
        <c:lblOffset val="100"/>
        <c:noMultiLvlLbl val="0"/>
      </c:catAx>
      <c:spPr>
        <a:solidFill>
          <a:schemeClr val="bg1">
            <a:lumMod val="95000"/>
          </a:schemeClr>
        </a:solidFill>
        <a:ln w="180975"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r"/>
      <c:legendEntry>
        <c:idx val="6"/>
        <c:delete val="1"/>
      </c:legendEntry>
      <c:layout>
        <c:manualLayout>
          <c:xMode val="edge"/>
          <c:yMode val="edge"/>
          <c:x val="0.71625798776806338"/>
          <c:y val="4.2363227223204618E-2"/>
          <c:w val="0.26817640142627924"/>
          <c:h val="0.5225030631535718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aseline="0">
          <a:solidFill>
            <a:schemeClr val="tx1"/>
          </a:solidFill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726410731206414E-2"/>
          <c:y val="6.881279470553453E-2"/>
          <c:w val="0.63174794686316249"/>
          <c:h val="0.827722525675281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'PIPA N'!$P$2</c:f>
              <c:strCache>
                <c:ptCount val="1"/>
                <c:pt idx="0">
                  <c:v>Llegada a instalación</c:v>
                </c:pt>
              </c:strCache>
            </c:strRef>
          </c:tx>
          <c:spPr>
            <a:solidFill>
              <a:schemeClr val="bg1"/>
            </a:solidFill>
            <a:ln w="0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'PIPA N'!$P$3:$P$7</c15:sqref>
                  </c15:fullRef>
                </c:ext>
              </c:extLst>
              <c:f>'PIPA N'!$P$3:$P$7</c:f>
              <c:numCache>
                <c:formatCode>h:mm</c:formatCode>
                <c:ptCount val="5"/>
                <c:pt idx="0">
                  <c:v>0.34027777777777773</c:v>
                </c:pt>
                <c:pt idx="1">
                  <c:v>0.34375</c:v>
                </c:pt>
                <c:pt idx="2">
                  <c:v>0.34027777777777773</c:v>
                </c:pt>
                <c:pt idx="3">
                  <c:v>0.33680555555555558</c:v>
                </c:pt>
                <c:pt idx="4">
                  <c:v>0.33819444444444446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7-4795-99FB-E6DC4241DC57}"/>
            </c:ext>
          </c:extLst>
        </c:ser>
        <c:ser>
          <c:idx val="1"/>
          <c:order val="1"/>
          <c:tx>
            <c:strRef>
              <c:f>'PIPA N'!$Q$2</c:f>
              <c:strCache>
                <c:ptCount val="1"/>
                <c:pt idx="0">
                  <c:v>Tiempo en instalación 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'PIPA N'!$Q$3:$Q$7</c15:sqref>
                  </c15:fullRef>
                </c:ext>
              </c:extLst>
              <c:f>'PIPA N'!$Q$3:$Q$7</c:f>
              <c:numCache>
                <c:formatCode>h:mm</c:formatCode>
                <c:ptCount val="5"/>
                <c:pt idx="0">
                  <c:v>2.430555555555558E-2</c:v>
                </c:pt>
                <c:pt idx="1">
                  <c:v>2.430555555555558E-2</c:v>
                </c:pt>
                <c:pt idx="2">
                  <c:v>2.430555555555558E-2</c:v>
                </c:pt>
                <c:pt idx="3">
                  <c:v>3.2638888888888884E-2</c:v>
                </c:pt>
                <c:pt idx="4">
                  <c:v>2.9861111111111116E-2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57-4795-99FB-E6DC4241DC57}"/>
            </c:ext>
          </c:extLst>
        </c:ser>
        <c:ser>
          <c:idx val="2"/>
          <c:order val="2"/>
          <c:tx>
            <c:strRef>
              <c:f>'PIPA N'!$R$2</c:f>
              <c:strCache>
                <c:ptCount val="1"/>
                <c:pt idx="0">
                  <c:v>Traslado a postura </c:v>
                </c:pt>
              </c:strCache>
            </c:strRef>
          </c:tx>
          <c:spPr>
            <a:solidFill>
              <a:srgbClr val="FF0000"/>
            </a:solidFill>
            <a:ln cap="sq" cmpd="sng"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'PIPA N'!$R$3:$R$7</c15:sqref>
                  </c15:fullRef>
                </c:ext>
              </c:extLst>
              <c:f>'PIPA N'!$R$3:$R$7</c:f>
              <c:numCache>
                <c:formatCode>h:mm</c:formatCode>
                <c:ptCount val="5"/>
                <c:pt idx="0">
                  <c:v>1.5972222222222221E-2</c:v>
                </c:pt>
                <c:pt idx="1">
                  <c:v>1.0416666666666685E-2</c:v>
                </c:pt>
                <c:pt idx="2">
                  <c:v>1.7361111111111105E-2</c:v>
                </c:pt>
                <c:pt idx="3">
                  <c:v>1.1111111111111072E-2</c:v>
                </c:pt>
                <c:pt idx="4">
                  <c:v>1.5277777777777724E-2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57-4795-99FB-E6DC4241DC57}"/>
            </c:ext>
          </c:extLst>
        </c:ser>
        <c:ser>
          <c:idx val="3"/>
          <c:order val="3"/>
          <c:tx>
            <c:strRef>
              <c:f>'PIPA N'!$S$2</c:f>
              <c:strCache>
                <c:ptCount val="1"/>
                <c:pt idx="0">
                  <c:v>Tiempo disponible AM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'PIPA N'!$S$3:$S$7</c15:sqref>
                  </c15:fullRef>
                </c:ext>
              </c:extLst>
              <c:f>'PIPA N'!$S$3:$S$7</c:f>
              <c:numCache>
                <c:formatCode>h:mm</c:formatCode>
                <c:ptCount val="5"/>
                <c:pt idx="0">
                  <c:v>0.23055555555555551</c:v>
                </c:pt>
                <c:pt idx="1">
                  <c:v>0.23263888888888878</c:v>
                </c:pt>
                <c:pt idx="2">
                  <c:v>0.22916666666666663</c:v>
                </c:pt>
                <c:pt idx="3">
                  <c:v>0.23055555555555551</c:v>
                </c:pt>
                <c:pt idx="4">
                  <c:v>0.23125000000000007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57-4795-99FB-E6DC4241DC57}"/>
            </c:ext>
          </c:extLst>
        </c:ser>
        <c:ser>
          <c:idx val="9"/>
          <c:order val="4"/>
          <c:tx>
            <c:strRef>
              <c:f>'PIPA N'!$T$2</c:f>
              <c:strCache>
                <c:ptCount val="1"/>
                <c:pt idx="0">
                  <c:v>Traslado Colación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'PIPA N'!$T$3:$T$7</c15:sqref>
                  </c15:fullRef>
                </c:ext>
              </c:extLst>
              <c:f>'PIPA N'!$T$3:$T$7</c:f>
              <c:numCache>
                <c:formatCode>h:mm</c:formatCode>
                <c:ptCount val="5"/>
                <c:pt idx="0">
                  <c:v>1.0416666666666741E-2</c:v>
                </c:pt>
                <c:pt idx="1">
                  <c:v>6.9444444444445308E-3</c:v>
                </c:pt>
                <c:pt idx="2">
                  <c:v>6.9444444444445308E-3</c:v>
                </c:pt>
                <c:pt idx="3">
                  <c:v>6.9444444444445308E-3</c:v>
                </c:pt>
                <c:pt idx="4">
                  <c:v>3.4722222222222099E-3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9D-4175-B618-9350432A1323}"/>
            </c:ext>
          </c:extLst>
        </c:ser>
        <c:ser>
          <c:idx val="4"/>
          <c:order val="5"/>
          <c:tx>
            <c:strRef>
              <c:f>'PIPA N'!$U$2</c:f>
              <c:strCache>
                <c:ptCount val="1"/>
                <c:pt idx="0">
                  <c:v>Almuerzo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'PIPA N'!$U$3:$U$7</c15:sqref>
                  </c15:fullRef>
                </c:ext>
              </c:extLst>
              <c:f>'PIPA N'!$U$3:$U$7</c:f>
              <c:numCache>
                <c:formatCode>h:mm</c:formatCode>
                <c:ptCount val="5"/>
                <c:pt idx="0">
                  <c:v>2.430555555555558E-2</c:v>
                </c:pt>
                <c:pt idx="1">
                  <c:v>2.4305555555555469E-2</c:v>
                </c:pt>
                <c:pt idx="2">
                  <c:v>2.4305555555555469E-2</c:v>
                </c:pt>
                <c:pt idx="3">
                  <c:v>2.4305555555555469E-2</c:v>
                </c:pt>
                <c:pt idx="4">
                  <c:v>2.4305555555555469E-2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57-4795-99FB-E6DC4241DC57}"/>
            </c:ext>
          </c:extLst>
        </c:ser>
        <c:ser>
          <c:idx val="12"/>
          <c:order val="6"/>
          <c:tx>
            <c:strRef>
              <c:f>'PIPA N'!$V$2</c:f>
              <c:strCache>
                <c:ptCount val="1"/>
                <c:pt idx="0">
                  <c:v>Tiempo disponible PM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'PIPA N'!$V$3:$V$7</c15:sqref>
                  </c15:fullRef>
                </c:ext>
              </c:extLst>
              <c:f>'PIPA N'!$V$3:$V$7</c:f>
              <c:numCache>
                <c:formatCode>h:mm</c:formatCode>
                <c:ptCount val="5"/>
                <c:pt idx="0">
                  <c:v>1.388888888888884E-2</c:v>
                </c:pt>
                <c:pt idx="1">
                  <c:v>1.736111111111116E-2</c:v>
                </c:pt>
                <c:pt idx="2">
                  <c:v>1.736111111111116E-2</c:v>
                </c:pt>
                <c:pt idx="3">
                  <c:v>1.736111111111116E-2</c:v>
                </c:pt>
                <c:pt idx="4">
                  <c:v>1.736111111111116E-2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57-4795-99FB-E6DC4241D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443550656"/>
        <c:axId val="443553008"/>
      </c:barChart>
      <c:lineChart>
        <c:grouping val="standard"/>
        <c:varyColors val="0"/>
        <c:ser>
          <c:idx val="5"/>
          <c:order val="7"/>
          <c:tx>
            <c:strRef>
              <c:f>'PIPA N'!$W$2</c:f>
              <c:strCache>
                <c:ptCount val="1"/>
                <c:pt idx="0">
                  <c:v>1. Llegada a instalación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'PIPA N'!$N$3:$N$7</c15:sqref>
                  </c15:fullRef>
                </c:ext>
              </c:extLst>
              <c:f>'PIPA N'!$N$3:$N$7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'PIPA N'!$W$3:$W$14</c15:sqref>
                  </c15:fullRef>
                </c:ext>
              </c:extLst>
              <c:f>'PIPA N'!$W$3:$W$7</c:f>
              <c:numCache>
                <c:formatCode>h:mm</c:formatCode>
                <c:ptCount val="5"/>
                <c:pt idx="0">
                  <c:v>0.33333333333333331</c:v>
                </c:pt>
                <c:pt idx="1">
                  <c:v>0.33333333333333331</c:v>
                </c:pt>
                <c:pt idx="2">
                  <c:v>0.33333333333333331</c:v>
                </c:pt>
                <c:pt idx="3">
                  <c:v>0.33333333333333331</c:v>
                </c:pt>
                <c:pt idx="4">
                  <c:v>0.33333333333333331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A57-4795-99FB-E6DC4241DC57}"/>
            </c:ext>
          </c:extLst>
        </c:ser>
        <c:ser>
          <c:idx val="6"/>
          <c:order val="8"/>
          <c:tx>
            <c:strRef>
              <c:f>'PIPA N'!$X$2</c:f>
              <c:strCache>
                <c:ptCount val="1"/>
                <c:pt idx="0">
                  <c:v>2. Salida de instalación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'PIPA N'!$N$3:$N$7</c15:sqref>
                  </c15:fullRef>
                </c:ext>
              </c:extLst>
              <c:f>'PIPA N'!$N$3:$N$7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'PIPA N'!$X$3:$X$14</c15:sqref>
                  </c15:fullRef>
                </c:ext>
              </c:extLst>
              <c:f>'PIPA N'!$X$3:$X$7</c:f>
              <c:numCache>
                <c:formatCode>h:mm</c:formatCode>
                <c:ptCount val="5"/>
                <c:pt idx="0">
                  <c:v>0.35416666666666669</c:v>
                </c:pt>
                <c:pt idx="1">
                  <c:v>0.35416666666666669</c:v>
                </c:pt>
                <c:pt idx="2">
                  <c:v>0.35416666666666669</c:v>
                </c:pt>
                <c:pt idx="3">
                  <c:v>0.35416666666666669</c:v>
                </c:pt>
                <c:pt idx="4">
                  <c:v>0.35416666666666669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A57-4795-99FB-E6DC4241DC57}"/>
            </c:ext>
          </c:extLst>
        </c:ser>
        <c:ser>
          <c:idx val="7"/>
          <c:order val="9"/>
          <c:tx>
            <c:strRef>
              <c:f>'PIPA N'!$Y$2</c:f>
              <c:strCache>
                <c:ptCount val="1"/>
              </c:strCache>
            </c:strRef>
          </c:tx>
          <c:spPr>
            <a:ln w="508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'PIPA N'!$N$3:$N$7</c15:sqref>
                  </c15:fullRef>
                </c:ext>
              </c:extLst>
              <c:f>'PIPA N'!$N$3:$N$7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'PIPA N'!$Y$3:$Y$14</c15:sqref>
                  </c15:fullRef>
                </c:ext>
              </c:extLst>
              <c:f>'PIPA N'!$Y$3:$Y$7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A57-4795-99FB-E6DC4241DC57}"/>
            </c:ext>
          </c:extLst>
        </c:ser>
        <c:ser>
          <c:idx val="8"/>
          <c:order val="10"/>
          <c:tx>
            <c:strRef>
              <c:f>'PIPA N'!$Z$2</c:f>
              <c:strCache>
                <c:ptCount val="1"/>
              </c:strCache>
            </c:strRef>
          </c:tx>
          <c:spPr>
            <a:ln w="508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'PIPA N'!$N$3:$N$7</c15:sqref>
                  </c15:fullRef>
                </c:ext>
              </c:extLst>
              <c:f>'PIPA N'!$N$3:$N$7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'PIPA N'!$Z$3:$Z$14</c15:sqref>
                  </c15:fullRef>
                </c:ext>
              </c:extLst>
              <c:f>'PIPA N'!$Z$3:$Z$7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A57-4795-99FB-E6DC4241DC57}"/>
            </c:ext>
          </c:extLst>
        </c:ser>
        <c:ser>
          <c:idx val="10"/>
          <c:order val="11"/>
          <c:tx>
            <c:strRef>
              <c:f>'PIPA N'!$AA$2</c:f>
              <c:strCache>
                <c:ptCount val="1"/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'PIPA N'!$N$3:$N$7</c15:sqref>
                  </c15:fullRef>
                </c:ext>
              </c:extLst>
              <c:f>'PIPA N'!$N$3:$N$7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'PIPA N'!$AA$3:$AA$7</c15:sqref>
                  </c15:fullRef>
                </c:ext>
              </c:extLst>
              <c:f>'PIPA N'!$AA$3:$AA$7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9D-4175-B618-9350432A1323}"/>
            </c:ext>
          </c:extLst>
        </c:ser>
        <c:ser>
          <c:idx val="14"/>
          <c:order val="12"/>
          <c:tx>
            <c:strRef>
              <c:f>'PIPA N'!$AB$2</c:f>
              <c:strCache>
                <c:ptCount val="1"/>
              </c:strCache>
            </c:strRef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'PIPA N'!$N$3:$N$7</c15:sqref>
                  </c15:fullRef>
                </c:ext>
              </c:extLst>
              <c:f>'PIPA N'!$N$3:$N$7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'PIPA N'!$AB$3:$AB$14</c15:sqref>
                  </c15:fullRef>
                </c:ext>
              </c:extLst>
              <c:f>'PIPA N'!$AB$3:$AB$7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A57-4795-99FB-E6DC4241DC57}"/>
            </c:ext>
          </c:extLst>
        </c:ser>
        <c:ser>
          <c:idx val="19"/>
          <c:order val="13"/>
          <c:tx>
            <c:strRef>
              <c:f>'PIPA N'!$AC$2</c:f>
              <c:strCache>
                <c:ptCount val="1"/>
              </c:strCache>
            </c:strRef>
          </c:tx>
          <c:spPr>
            <a:ln w="5080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'PIPA N'!$N$3:$N$7</c15:sqref>
                  </c15:fullRef>
                </c:ext>
              </c:extLst>
              <c:f>'PIPA N'!$N$3:$N$7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'PIPA N'!$AC$3:$AC$14</c15:sqref>
                  </c15:fullRef>
                </c:ext>
              </c:extLst>
              <c:f>'PIPA N'!$AC$3:$AC$7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21-40B8-A725-E65B89899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6296192"/>
        <c:axId val="443551048"/>
      </c:lineChart>
      <c:catAx>
        <c:axId val="443550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0795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43553008"/>
        <c:crossesAt val="0"/>
        <c:auto val="1"/>
        <c:lblAlgn val="ctr"/>
        <c:lblOffset val="60"/>
        <c:noMultiLvlLbl val="0"/>
      </c:catAx>
      <c:valAx>
        <c:axId val="443553008"/>
        <c:scaling>
          <c:orientation val="minMax"/>
          <c:max val="0.66800000000000015"/>
          <c:min val="0.33400000000000007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200"/>
                  <a:t>horario turno [h]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43550656"/>
        <c:crosses val="autoZero"/>
        <c:crossBetween val="between"/>
        <c:majorUnit val="4.1600000000000012E-2"/>
        <c:minorUnit val="8.3300000000000023E-3"/>
      </c:valAx>
      <c:valAx>
        <c:axId val="443551048"/>
        <c:scaling>
          <c:orientation val="minMax"/>
          <c:max val="0.68000000000000016"/>
          <c:min val="0.33400000000000007"/>
        </c:scaling>
        <c:delete val="0"/>
        <c:axPos val="r"/>
        <c:numFmt formatCode="h:mm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56296192"/>
        <c:crosses val="max"/>
        <c:crossBetween val="between"/>
        <c:majorUnit val="4.1600000000000012E-2"/>
      </c:valAx>
      <c:catAx>
        <c:axId val="4562961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3551048"/>
        <c:crosses val="autoZero"/>
        <c:auto val="1"/>
        <c:lblAlgn val="ctr"/>
        <c:lblOffset val="100"/>
        <c:noMultiLvlLbl val="0"/>
      </c:catAx>
      <c:spPr>
        <a:solidFill>
          <a:schemeClr val="bg1">
            <a:lumMod val="95000"/>
          </a:schemeClr>
        </a:solidFill>
        <a:ln w="180975"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r"/>
      <c:legendEntry>
        <c:idx val="6"/>
        <c:delete val="1"/>
      </c:legendEntry>
      <c:layout>
        <c:manualLayout>
          <c:xMode val="edge"/>
          <c:yMode val="edge"/>
          <c:x val="0.73396349538586303"/>
          <c:y val="4.2363227223204618E-2"/>
          <c:w val="0.25679428938626514"/>
          <c:h val="0.59664325885599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aseline="0">
          <a:solidFill>
            <a:schemeClr val="tx1"/>
          </a:solidFill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726410731206414E-2"/>
          <c:y val="6.881279470553453E-2"/>
          <c:w val="0.63174794686316249"/>
          <c:h val="0.827722525675281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DIABLO!$P$2</c:f>
              <c:strCache>
                <c:ptCount val="1"/>
                <c:pt idx="0">
                  <c:v>Llegada a instalación</c:v>
                </c:pt>
              </c:strCache>
            </c:strRef>
          </c:tx>
          <c:spPr>
            <a:solidFill>
              <a:schemeClr val="bg1"/>
            </a:solidFill>
            <a:ln w="0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DIABLO!$P$3:$P$7</c15:sqref>
                  </c15:fullRef>
                </c:ext>
              </c:extLst>
              <c:f>DIABLO!$P$3:$P$7</c:f>
              <c:numCache>
                <c:formatCode>h:mm</c:formatCode>
                <c:ptCount val="5"/>
                <c:pt idx="0">
                  <c:v>0.67361111111111116</c:v>
                </c:pt>
                <c:pt idx="1">
                  <c:v>0.67361111111111116</c:v>
                </c:pt>
                <c:pt idx="2">
                  <c:v>0.67361111111111116</c:v>
                </c:pt>
                <c:pt idx="3">
                  <c:v>0.67361111111111116</c:v>
                </c:pt>
                <c:pt idx="4">
                  <c:v>0.67361111111111116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7-4795-99FB-E6DC4241DC57}"/>
            </c:ext>
          </c:extLst>
        </c:ser>
        <c:ser>
          <c:idx val="1"/>
          <c:order val="1"/>
          <c:tx>
            <c:strRef>
              <c:f>DIABLO!$Q$2</c:f>
              <c:strCache>
                <c:ptCount val="1"/>
                <c:pt idx="0">
                  <c:v>Tiempo en instalación 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DIABLO!$Q$3:$Q$7</c15:sqref>
                  </c15:fullRef>
                </c:ext>
              </c:extLst>
              <c:f>DIABLO!$Q$3:$Q$7</c:f>
              <c:numCache>
                <c:formatCode>h:mm</c:formatCode>
                <c:ptCount val="5"/>
                <c:pt idx="0">
                  <c:v>1.388888888888884E-2</c:v>
                </c:pt>
                <c:pt idx="1">
                  <c:v>1.041666666666663E-2</c:v>
                </c:pt>
                <c:pt idx="2">
                  <c:v>6.9444444444443088E-3</c:v>
                </c:pt>
                <c:pt idx="3">
                  <c:v>1.041666666666663E-2</c:v>
                </c:pt>
                <c:pt idx="4">
                  <c:v>1.7361111111111049E-2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57-4795-99FB-E6DC4241DC57}"/>
            </c:ext>
          </c:extLst>
        </c:ser>
        <c:ser>
          <c:idx val="2"/>
          <c:order val="2"/>
          <c:tx>
            <c:strRef>
              <c:f>DIABLO!$R$2</c:f>
              <c:strCache>
                <c:ptCount val="1"/>
                <c:pt idx="0">
                  <c:v>Traslado a postura </c:v>
                </c:pt>
              </c:strCache>
            </c:strRef>
          </c:tx>
          <c:spPr>
            <a:solidFill>
              <a:srgbClr val="FF0000"/>
            </a:solidFill>
            <a:ln cap="sq" cmpd="sng"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DIABLO!$R$3:$R$7</c15:sqref>
                  </c15:fullRef>
                </c:ext>
              </c:extLst>
              <c:f>DIABLO!$R$3:$R$7</c:f>
              <c:numCache>
                <c:formatCode>h:mm</c:formatCode>
                <c:ptCount val="5"/>
                <c:pt idx="0">
                  <c:v>2.9861111111111005E-2</c:v>
                </c:pt>
                <c:pt idx="1">
                  <c:v>3.125E-2</c:v>
                </c:pt>
                <c:pt idx="2">
                  <c:v>3.6111111111111205E-2</c:v>
                </c:pt>
                <c:pt idx="3">
                  <c:v>3.1944444444444442E-2</c:v>
                </c:pt>
                <c:pt idx="4">
                  <c:v>2.2916666666666696E-2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57-4795-99FB-E6DC4241DC57}"/>
            </c:ext>
          </c:extLst>
        </c:ser>
        <c:ser>
          <c:idx val="3"/>
          <c:order val="3"/>
          <c:tx>
            <c:strRef>
              <c:f>DIABLO!$S$2</c:f>
              <c:strCache>
                <c:ptCount val="1"/>
                <c:pt idx="0">
                  <c:v>Tiempo disponible AM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DIABLO!$S$3:$S$7</c15:sqref>
                  </c15:fullRef>
                </c:ext>
              </c:extLst>
              <c:f>DIABLO!$S$3:$S$7</c:f>
              <c:numCache>
                <c:formatCode>h:mm</c:formatCode>
                <c:ptCount val="5"/>
                <c:pt idx="0">
                  <c:v>0.23402777777777783</c:v>
                </c:pt>
                <c:pt idx="1">
                  <c:v>0.23958333333333337</c:v>
                </c:pt>
                <c:pt idx="2">
                  <c:v>0.22777777777777786</c:v>
                </c:pt>
                <c:pt idx="3">
                  <c:v>0.21111111111111114</c:v>
                </c:pt>
                <c:pt idx="4">
                  <c:v>0.20624999999999993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57-4795-99FB-E6DC4241DC57}"/>
            </c:ext>
          </c:extLst>
        </c:ser>
        <c:ser>
          <c:idx val="9"/>
          <c:order val="4"/>
          <c:tx>
            <c:strRef>
              <c:f>DIABLO!$T$2</c:f>
              <c:strCache>
                <c:ptCount val="1"/>
                <c:pt idx="0">
                  <c:v>Traslado Colación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DIABLO!$T$3:$T$7</c15:sqref>
                  </c15:fullRef>
                </c:ext>
              </c:extLst>
              <c:f>DIABLO!$T$3:$T$7</c:f>
              <c:numCache>
                <c:formatCode>h:mm</c:formatCode>
                <c:ptCount val="5"/>
                <c:pt idx="0">
                  <c:v>6.9444444444445308E-3</c:v>
                </c:pt>
                <c:pt idx="1">
                  <c:v>6.9444444444443088E-3</c:v>
                </c:pt>
                <c:pt idx="2">
                  <c:v>6.9444444444443088E-3</c:v>
                </c:pt>
                <c:pt idx="3">
                  <c:v>6.9444444444444198E-3</c:v>
                </c:pt>
                <c:pt idx="4">
                  <c:v>3.4722222222223209E-3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9D-4175-B618-9350432A1323}"/>
            </c:ext>
          </c:extLst>
        </c:ser>
        <c:ser>
          <c:idx val="4"/>
          <c:order val="5"/>
          <c:tx>
            <c:strRef>
              <c:f>DIABLO!$U$2</c:f>
              <c:strCache>
                <c:ptCount val="1"/>
                <c:pt idx="0">
                  <c:v>Almuerzo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DIABLO!$U$3:$U$7</c15:sqref>
                  </c15:fullRef>
                </c:ext>
              </c:extLst>
              <c:f>DIABLO!$U$3:$U$7</c:f>
              <c:numCache>
                <c:formatCode>h:mm</c:formatCode>
                <c:ptCount val="5"/>
                <c:pt idx="0">
                  <c:v>2.0833333333333259E-2</c:v>
                </c:pt>
                <c:pt idx="1">
                  <c:v>2.083333333333337E-2</c:v>
                </c:pt>
                <c:pt idx="2">
                  <c:v>2.777777777777779E-2</c:v>
                </c:pt>
                <c:pt idx="3">
                  <c:v>2.430555555555558E-2</c:v>
                </c:pt>
                <c:pt idx="4">
                  <c:v>2.4305555555555469E-2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57-4795-99FB-E6DC4241DC57}"/>
            </c:ext>
          </c:extLst>
        </c:ser>
        <c:ser>
          <c:idx val="12"/>
          <c:order val="6"/>
          <c:tx>
            <c:strRef>
              <c:f>DIABLO!$V$2</c:f>
              <c:strCache>
                <c:ptCount val="1"/>
                <c:pt idx="0">
                  <c:v>Tiempo disponible PM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DIABLO!$V$3:$V$7</c15:sqref>
                  </c15:fullRef>
                </c:ext>
              </c:extLst>
              <c:f>DIABLO!$V$3:$V$7</c:f>
              <c:numCache>
                <c:formatCode>h:mm</c:formatCode>
                <c:ptCount val="5"/>
                <c:pt idx="0">
                  <c:v>1.388888888888884E-2</c:v>
                </c:pt>
                <c:pt idx="1">
                  <c:v>1.041666666666663E-2</c:v>
                </c:pt>
                <c:pt idx="2">
                  <c:v>1.388888888888884E-2</c:v>
                </c:pt>
                <c:pt idx="3">
                  <c:v>3.4722222222222099E-2</c:v>
                </c:pt>
                <c:pt idx="4">
                  <c:v>4.513888888888884E-2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57-4795-99FB-E6DC4241D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456296976"/>
        <c:axId val="456298544"/>
      </c:barChart>
      <c:lineChart>
        <c:grouping val="standard"/>
        <c:varyColors val="0"/>
        <c:ser>
          <c:idx val="5"/>
          <c:order val="7"/>
          <c:tx>
            <c:strRef>
              <c:f>DIABLO!$W$2</c:f>
              <c:strCache>
                <c:ptCount val="1"/>
                <c:pt idx="0">
                  <c:v>1. Llegada a instalación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DIABLO!$N$3:$N$7</c15:sqref>
                  </c15:fullRef>
                </c:ext>
              </c:extLst>
              <c:f>DIABLO!$N$3:$N$7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DIABLO!$W$3:$W$14</c15:sqref>
                  </c15:fullRef>
                </c:ext>
              </c:extLst>
              <c:f>DIABLO!$W$3:$W$7</c:f>
              <c:numCache>
                <c:formatCode>h:mm</c:formatCode>
                <c:ptCount val="5"/>
                <c:pt idx="0">
                  <c:v>0.33333333333333331</c:v>
                </c:pt>
                <c:pt idx="1">
                  <c:v>0.33333333333333331</c:v>
                </c:pt>
                <c:pt idx="2">
                  <c:v>0.33333333333333331</c:v>
                </c:pt>
                <c:pt idx="3">
                  <c:v>0.33333333333333331</c:v>
                </c:pt>
                <c:pt idx="4">
                  <c:v>0.33333333333333331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A57-4795-99FB-E6DC4241DC57}"/>
            </c:ext>
          </c:extLst>
        </c:ser>
        <c:ser>
          <c:idx val="6"/>
          <c:order val="8"/>
          <c:tx>
            <c:strRef>
              <c:f>DIABLO!$X$2</c:f>
              <c:strCache>
                <c:ptCount val="1"/>
                <c:pt idx="0">
                  <c:v>2. Salida de instalación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DIABLO!$N$3:$N$7</c15:sqref>
                  </c15:fullRef>
                </c:ext>
              </c:extLst>
              <c:f>DIABLO!$N$3:$N$7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DIABLO!$X$3:$X$14</c15:sqref>
                  </c15:fullRef>
                </c:ext>
              </c:extLst>
              <c:f>DIABLO!$X$3:$X$7</c:f>
              <c:numCache>
                <c:formatCode>h:mm</c:formatCode>
                <c:ptCount val="5"/>
                <c:pt idx="0">
                  <c:v>0.35416666666666669</c:v>
                </c:pt>
                <c:pt idx="1">
                  <c:v>0.35416666666666669</c:v>
                </c:pt>
                <c:pt idx="2">
                  <c:v>0.35416666666666669</c:v>
                </c:pt>
                <c:pt idx="3">
                  <c:v>0.35416666666666669</c:v>
                </c:pt>
                <c:pt idx="4">
                  <c:v>0.35416666666666669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A57-4795-99FB-E6DC4241DC57}"/>
            </c:ext>
          </c:extLst>
        </c:ser>
        <c:ser>
          <c:idx val="7"/>
          <c:order val="9"/>
          <c:tx>
            <c:strRef>
              <c:f>DIABLO!$Y$2</c:f>
              <c:strCache>
                <c:ptCount val="1"/>
                <c:pt idx="0">
                  <c:v>3. Inicio de actividades AM</c:v>
                </c:pt>
              </c:strCache>
            </c:strRef>
          </c:tx>
          <c:spPr>
            <a:ln w="508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DIABLO!$N$3:$N$7</c15:sqref>
                  </c15:fullRef>
                </c:ext>
              </c:extLst>
              <c:f>DIABLO!$N$3:$N$7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DIABLO!$Y$3:$Y$14</c15:sqref>
                  </c15:fullRef>
                </c:ext>
              </c:extLst>
              <c:f>DIABLO!$Y$3:$Y$7</c:f>
              <c:numCache>
                <c:formatCode>h:mm</c:formatCode>
                <c:ptCount val="5"/>
                <c:pt idx="0">
                  <c:v>0.375</c:v>
                </c:pt>
                <c:pt idx="1">
                  <c:v>0.375</c:v>
                </c:pt>
                <c:pt idx="2">
                  <c:v>0.375</c:v>
                </c:pt>
                <c:pt idx="3">
                  <c:v>0.375</c:v>
                </c:pt>
                <c:pt idx="4">
                  <c:v>0.375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A57-4795-99FB-E6DC4241DC57}"/>
            </c:ext>
          </c:extLst>
        </c:ser>
        <c:ser>
          <c:idx val="8"/>
          <c:order val="10"/>
          <c:tx>
            <c:strRef>
              <c:f>DIABLO!$Z$2</c:f>
              <c:strCache>
                <c:ptCount val="1"/>
                <c:pt idx="0">
                  <c:v>4. Término de actividades AM</c:v>
                </c:pt>
              </c:strCache>
            </c:strRef>
          </c:tx>
          <c:spPr>
            <a:ln w="508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DIABLO!$N$3:$N$7</c15:sqref>
                  </c15:fullRef>
                </c:ext>
              </c:extLst>
              <c:f>DIABLO!$N$3:$N$7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DIABLO!$Z$3:$Z$14</c15:sqref>
                  </c15:fullRef>
                </c:ext>
              </c:extLst>
              <c:f>DIABLO!$Z$3:$Z$7</c:f>
              <c:numCache>
                <c:formatCode>h:mm</c:formatCode>
                <c:ptCount val="5"/>
                <c:pt idx="0">
                  <c:v>0.59375</c:v>
                </c:pt>
                <c:pt idx="1">
                  <c:v>0.59375</c:v>
                </c:pt>
                <c:pt idx="2">
                  <c:v>0.59375</c:v>
                </c:pt>
                <c:pt idx="3">
                  <c:v>0.59375</c:v>
                </c:pt>
                <c:pt idx="4">
                  <c:v>0.59375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A57-4795-99FB-E6DC4241DC57}"/>
            </c:ext>
          </c:extLst>
        </c:ser>
        <c:ser>
          <c:idx val="10"/>
          <c:order val="11"/>
          <c:tx>
            <c:strRef>
              <c:f>DIABLO!$AA$2</c:f>
              <c:strCache>
                <c:ptCount val="1"/>
                <c:pt idx="0">
                  <c:v>5. Almuerzo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DIABLO!$N$3:$N$7</c15:sqref>
                  </c15:fullRef>
                </c:ext>
              </c:extLst>
              <c:f>DIABLO!$N$3:$N$7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DIABLO!$AA$3:$AA$7</c15:sqref>
                  </c15:fullRef>
                </c:ext>
              </c:extLst>
              <c:f>DIABLO!$AA$3:$AA$7</c:f>
              <c:numCache>
                <c:formatCode>h:mm</c:formatCode>
                <c:ptCount val="5"/>
                <c:pt idx="0">
                  <c:v>0.61458333333333337</c:v>
                </c:pt>
                <c:pt idx="1">
                  <c:v>0.61458333333333337</c:v>
                </c:pt>
                <c:pt idx="2">
                  <c:v>0.61458333333333337</c:v>
                </c:pt>
                <c:pt idx="3">
                  <c:v>0.61458333333333337</c:v>
                </c:pt>
                <c:pt idx="4">
                  <c:v>0.61458333333333337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9D-4175-B618-9350432A1323}"/>
            </c:ext>
          </c:extLst>
        </c:ser>
        <c:ser>
          <c:idx val="14"/>
          <c:order val="12"/>
          <c:tx>
            <c:strRef>
              <c:f>DIABLO!$AB$2</c:f>
              <c:strCache>
                <c:ptCount val="1"/>
                <c:pt idx="0">
                  <c:v>6. Inicio Actividades PM</c:v>
                </c:pt>
              </c:strCache>
            </c:strRef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DIABLO!$N$3:$N$7</c15:sqref>
                  </c15:fullRef>
                </c:ext>
              </c:extLst>
              <c:f>DIABLO!$N$3:$N$7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DIABLO!$AB$3:$AB$14</c15:sqref>
                  </c15:fullRef>
                </c:ext>
              </c:extLst>
              <c:f>DIABLO!$AB$3:$AB$7</c:f>
              <c:numCache>
                <c:formatCode>h:mm</c:formatCode>
                <c:ptCount val="5"/>
                <c:pt idx="0">
                  <c:v>0.63541666666666663</c:v>
                </c:pt>
                <c:pt idx="1">
                  <c:v>0.63541666666666663</c:v>
                </c:pt>
                <c:pt idx="2">
                  <c:v>0.63541666666666663</c:v>
                </c:pt>
                <c:pt idx="3">
                  <c:v>0.63541666666666663</c:v>
                </c:pt>
                <c:pt idx="4">
                  <c:v>0.63541666666666663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A57-4795-99FB-E6DC4241DC57}"/>
            </c:ext>
          </c:extLst>
        </c:ser>
        <c:ser>
          <c:idx val="19"/>
          <c:order val="13"/>
          <c:tx>
            <c:strRef>
              <c:f>DIABLO!$AC$2</c:f>
              <c:strCache>
                <c:ptCount val="1"/>
                <c:pt idx="0">
                  <c:v>7. término Actividades PM</c:v>
                </c:pt>
              </c:strCache>
            </c:strRef>
          </c:tx>
          <c:spPr>
            <a:ln w="5080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DIABLO!$N$3:$N$7</c15:sqref>
                  </c15:fullRef>
                </c:ext>
              </c:extLst>
              <c:f>DIABLO!$N$3:$N$7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DIABLO!$AC$3:$AC$14</c15:sqref>
                  </c15:fullRef>
                </c:ext>
              </c:extLst>
              <c:f>DIABLO!$AC$3:$AC$7</c:f>
              <c:numCache>
                <c:formatCode>h:mm</c:formatCode>
                <c:ptCount val="5"/>
                <c:pt idx="0">
                  <c:v>0.66666666666666663</c:v>
                </c:pt>
                <c:pt idx="1">
                  <c:v>0.66666666666666663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21-40B8-A725-E65B89899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1403384"/>
        <c:axId val="361398680"/>
      </c:lineChart>
      <c:catAx>
        <c:axId val="456296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0795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56298544"/>
        <c:crossesAt val="0"/>
        <c:auto val="1"/>
        <c:lblAlgn val="ctr"/>
        <c:lblOffset val="60"/>
        <c:noMultiLvlLbl val="0"/>
      </c:catAx>
      <c:valAx>
        <c:axId val="456298544"/>
        <c:scaling>
          <c:orientation val="minMax"/>
          <c:max val="0.996"/>
          <c:min val="0.6680000000000001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200"/>
                  <a:t>horario turno [h]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56296976"/>
        <c:crosses val="autoZero"/>
        <c:crossBetween val="between"/>
        <c:majorUnit val="4.1600000000000012E-2"/>
        <c:minorUnit val="8.3300000000000023E-3"/>
      </c:valAx>
      <c:valAx>
        <c:axId val="361398680"/>
        <c:scaling>
          <c:orientation val="minMax"/>
          <c:max val="0.68000000000000016"/>
          <c:min val="0.33400000000000007"/>
        </c:scaling>
        <c:delete val="0"/>
        <c:axPos val="r"/>
        <c:numFmt formatCode="h:mm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361403384"/>
        <c:crosses val="max"/>
        <c:crossBetween val="between"/>
        <c:majorUnit val="4.1600000000000012E-2"/>
      </c:valAx>
      <c:catAx>
        <c:axId val="361403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1398680"/>
        <c:crosses val="autoZero"/>
        <c:auto val="1"/>
        <c:lblAlgn val="ctr"/>
        <c:lblOffset val="100"/>
        <c:noMultiLvlLbl val="0"/>
      </c:catAx>
      <c:spPr>
        <a:solidFill>
          <a:schemeClr val="bg1">
            <a:lumMod val="95000"/>
          </a:schemeClr>
        </a:solidFill>
        <a:ln w="180975"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r"/>
      <c:legendEntry>
        <c:idx val="6"/>
        <c:delete val="1"/>
      </c:legendEntry>
      <c:layout>
        <c:manualLayout>
          <c:xMode val="edge"/>
          <c:yMode val="edge"/>
          <c:x val="0.73396349538586303"/>
          <c:y val="4.2363227223204618E-2"/>
          <c:w val="0.25679428938626514"/>
          <c:h val="0.59664325885599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aseline="0">
          <a:solidFill>
            <a:schemeClr val="tx1"/>
          </a:solidFill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726410731206414E-2"/>
          <c:y val="6.881279470553453E-2"/>
          <c:w val="0.63174794686316249"/>
          <c:h val="0.827722525675281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ACCU!$P$2</c:f>
              <c:strCache>
                <c:ptCount val="1"/>
                <c:pt idx="0">
                  <c:v>Llegada a instalación</c:v>
                </c:pt>
              </c:strCache>
            </c:strRef>
          </c:tx>
          <c:spPr>
            <a:solidFill>
              <a:schemeClr val="bg1"/>
            </a:solidFill>
            <a:ln w="0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ACCU!$P$3:$P$7</c15:sqref>
                  </c15:fullRef>
                </c:ext>
              </c:extLst>
              <c:f>ACCU!$P$3:$P$7</c:f>
              <c:numCache>
                <c:formatCode>h:mm</c:formatCode>
                <c:ptCount val="5"/>
                <c:pt idx="0">
                  <c:v>0.33333333333333331</c:v>
                </c:pt>
                <c:pt idx="1">
                  <c:v>0.33333333333333331</c:v>
                </c:pt>
                <c:pt idx="2">
                  <c:v>0.33333333333333331</c:v>
                </c:pt>
                <c:pt idx="3">
                  <c:v>0.33680555555555558</c:v>
                </c:pt>
                <c:pt idx="4">
                  <c:v>0.33333333333333331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7-4795-99FB-E6DC4241DC57}"/>
            </c:ext>
          </c:extLst>
        </c:ser>
        <c:ser>
          <c:idx val="1"/>
          <c:order val="1"/>
          <c:tx>
            <c:strRef>
              <c:f>ACCU!$Q$2</c:f>
              <c:strCache>
                <c:ptCount val="1"/>
                <c:pt idx="0">
                  <c:v>Tiempo en instalación 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ACCU!$Q$3:$Q$7</c15:sqref>
                  </c15:fullRef>
                </c:ext>
              </c:extLst>
              <c:f>ACCU!$Q$3:$Q$7</c:f>
              <c:numCache>
                <c:formatCode>h:mm</c:formatCode>
                <c:ptCount val="5"/>
                <c:pt idx="0">
                  <c:v>1.0416666666666685E-2</c:v>
                </c:pt>
                <c:pt idx="1">
                  <c:v>1.0416666666666685E-2</c:v>
                </c:pt>
                <c:pt idx="2">
                  <c:v>1.0416666666666685E-2</c:v>
                </c:pt>
                <c:pt idx="3">
                  <c:v>1.0416666666666685E-2</c:v>
                </c:pt>
                <c:pt idx="4">
                  <c:v>1.0416666666666685E-2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57-4795-99FB-E6DC4241DC57}"/>
            </c:ext>
          </c:extLst>
        </c:ser>
        <c:ser>
          <c:idx val="2"/>
          <c:order val="2"/>
          <c:tx>
            <c:strRef>
              <c:f>ACCU!$R$2</c:f>
              <c:strCache>
                <c:ptCount val="1"/>
                <c:pt idx="0">
                  <c:v>Traslado a postura </c:v>
                </c:pt>
              </c:strCache>
            </c:strRef>
          </c:tx>
          <c:spPr>
            <a:solidFill>
              <a:srgbClr val="FF0000"/>
            </a:solidFill>
            <a:ln cap="sq" cmpd="sng"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ACCU!$R$3:$R$7</c15:sqref>
                  </c15:fullRef>
                </c:ext>
              </c:extLst>
              <c:f>ACCU!$R$3:$R$7</c:f>
              <c:numCache>
                <c:formatCode>h:mm</c:formatCode>
                <c:ptCount val="5"/>
                <c:pt idx="0">
                  <c:v>1.1805555555555569E-2</c:v>
                </c:pt>
                <c:pt idx="1">
                  <c:v>9.0277777777778012E-3</c:v>
                </c:pt>
                <c:pt idx="2">
                  <c:v>1.0416666666666685E-2</c:v>
                </c:pt>
                <c:pt idx="3">
                  <c:v>6.9444444444444198E-3</c:v>
                </c:pt>
                <c:pt idx="4">
                  <c:v>7.6388888888889173E-3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57-4795-99FB-E6DC4241DC57}"/>
            </c:ext>
          </c:extLst>
        </c:ser>
        <c:ser>
          <c:idx val="3"/>
          <c:order val="3"/>
          <c:tx>
            <c:strRef>
              <c:f>ACCU!$S$2</c:f>
              <c:strCache>
                <c:ptCount val="1"/>
                <c:pt idx="0">
                  <c:v>Tiempo disponible AM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ACCU!$S$3:$S$7</c15:sqref>
                  </c15:fullRef>
                </c:ext>
              </c:extLst>
              <c:f>ACCU!$S$3:$S$7</c:f>
              <c:numCache>
                <c:formatCode>h:mm</c:formatCode>
                <c:ptCount val="5"/>
                <c:pt idx="0">
                  <c:v>0.17916666666666664</c:v>
                </c:pt>
                <c:pt idx="1">
                  <c:v>0.18194444444444441</c:v>
                </c:pt>
                <c:pt idx="2">
                  <c:v>0.18749999999999994</c:v>
                </c:pt>
                <c:pt idx="3">
                  <c:v>0.17708333333333331</c:v>
                </c:pt>
                <c:pt idx="4">
                  <c:v>0.17986111111111108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57-4795-99FB-E6DC4241DC57}"/>
            </c:ext>
          </c:extLst>
        </c:ser>
        <c:ser>
          <c:idx val="9"/>
          <c:order val="4"/>
          <c:tx>
            <c:strRef>
              <c:f>ACCU!$T$2</c:f>
              <c:strCache>
                <c:ptCount val="1"/>
                <c:pt idx="0">
                  <c:v>Traslado Colación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ACCU!$T$3:$T$7</c15:sqref>
                  </c15:fullRef>
                </c:ext>
              </c:extLst>
              <c:f>ACCU!$T$3:$T$7</c:f>
              <c:numCache>
                <c:formatCode>h:mm</c:formatCode>
                <c:ptCount val="5"/>
                <c:pt idx="0">
                  <c:v>6.9444444444444198E-3</c:v>
                </c:pt>
                <c:pt idx="1">
                  <c:v>1.0416666666666741E-2</c:v>
                </c:pt>
                <c:pt idx="2">
                  <c:v>6.9444444444444198E-3</c:v>
                </c:pt>
                <c:pt idx="3">
                  <c:v>6.9444444444444198E-3</c:v>
                </c:pt>
                <c:pt idx="4">
                  <c:v>1.041666666666663E-2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9D-4175-B618-9350432A1323}"/>
            </c:ext>
          </c:extLst>
        </c:ser>
        <c:ser>
          <c:idx val="4"/>
          <c:order val="5"/>
          <c:tx>
            <c:strRef>
              <c:f>ACCU!$U$2</c:f>
              <c:strCache>
                <c:ptCount val="1"/>
                <c:pt idx="0">
                  <c:v>Almuerzo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ACCU!$U$3:$U$7</c15:sqref>
                  </c15:fullRef>
                </c:ext>
              </c:extLst>
              <c:f>ACCU!$U$3:$U$7</c:f>
              <c:numCache>
                <c:formatCode>h:mm</c:formatCode>
                <c:ptCount val="5"/>
                <c:pt idx="0">
                  <c:v>2.430555555555558E-2</c:v>
                </c:pt>
                <c:pt idx="1">
                  <c:v>2.7777777777777679E-2</c:v>
                </c:pt>
                <c:pt idx="2">
                  <c:v>2.083333333333337E-2</c:v>
                </c:pt>
                <c:pt idx="3">
                  <c:v>3.8194444444444531E-2</c:v>
                </c:pt>
                <c:pt idx="4">
                  <c:v>3.819444444444442E-2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57-4795-99FB-E6DC4241DC57}"/>
            </c:ext>
          </c:extLst>
        </c:ser>
        <c:ser>
          <c:idx val="12"/>
          <c:order val="6"/>
          <c:tx>
            <c:strRef>
              <c:f>ACCU!$V$2</c:f>
              <c:strCache>
                <c:ptCount val="1"/>
                <c:pt idx="0">
                  <c:v>Tiempo disponible PM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ACCU!$V$3:$V$7</c15:sqref>
                  </c15:fullRef>
                </c:ext>
              </c:extLst>
              <c:f>ACCU!$V$3:$V$7</c:f>
              <c:numCache>
                <c:formatCode>h:mm</c:formatCode>
                <c:ptCount val="5"/>
                <c:pt idx="0">
                  <c:v>0.26736111111111116</c:v>
                </c:pt>
                <c:pt idx="1">
                  <c:v>0.26041666666666674</c:v>
                </c:pt>
                <c:pt idx="2">
                  <c:v>0.26388888888888862</c:v>
                </c:pt>
                <c:pt idx="3">
                  <c:v>0.25694444444444409</c:v>
                </c:pt>
                <c:pt idx="4">
                  <c:v>0.25347222222222199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57-4795-99FB-E6DC4241D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73183000"/>
        <c:axId val="173183392"/>
      </c:barChart>
      <c:lineChart>
        <c:grouping val="standard"/>
        <c:varyColors val="0"/>
        <c:ser>
          <c:idx val="5"/>
          <c:order val="7"/>
          <c:tx>
            <c:strRef>
              <c:f>ACCU!$K$43</c:f>
              <c:strCache>
                <c:ptCount val="1"/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ACCU!$N$3:$N$7</c15:sqref>
                  </c15:fullRef>
                </c:ext>
              </c:extLst>
              <c:f>ACCU!$N$3:$N$7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ACCU!$W$3:$W$14</c15:sqref>
                  </c15:fullRef>
                </c:ext>
              </c:extLst>
              <c:f>ACCU!$W$3:$W$7</c:f>
              <c:numCache>
                <c:formatCode>h:mm</c:formatCode>
                <c:ptCount val="5"/>
                <c:pt idx="0">
                  <c:v>0.33333333333333331</c:v>
                </c:pt>
                <c:pt idx="1">
                  <c:v>0.33333333333333331</c:v>
                </c:pt>
                <c:pt idx="2">
                  <c:v>0.33333333333333331</c:v>
                </c:pt>
                <c:pt idx="3">
                  <c:v>0.33333333333333331</c:v>
                </c:pt>
                <c:pt idx="4">
                  <c:v>0.33333333333333331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A57-4795-99FB-E6DC4241DC57}"/>
            </c:ext>
          </c:extLst>
        </c:ser>
        <c:ser>
          <c:idx val="6"/>
          <c:order val="8"/>
          <c:tx>
            <c:strRef>
              <c:f>ACCU!$X$2</c:f>
              <c:strCache>
                <c:ptCount val="1"/>
                <c:pt idx="0">
                  <c:v>2. Salida de instalación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ACCU!$N$3:$N$7</c15:sqref>
                  </c15:fullRef>
                </c:ext>
              </c:extLst>
              <c:f>ACCU!$N$3:$N$7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ACCU!$X$3:$X$14</c15:sqref>
                  </c15:fullRef>
                </c:ext>
              </c:extLst>
              <c:f>ACCU!$X$3:$X$7</c:f>
              <c:numCache>
                <c:formatCode>h:mm</c:formatCode>
                <c:ptCount val="5"/>
                <c:pt idx="0">
                  <c:v>0.35416666666666669</c:v>
                </c:pt>
                <c:pt idx="1">
                  <c:v>0.35416666666666669</c:v>
                </c:pt>
                <c:pt idx="2">
                  <c:v>0.35416666666666669</c:v>
                </c:pt>
                <c:pt idx="3">
                  <c:v>0.35416666666666669</c:v>
                </c:pt>
                <c:pt idx="4">
                  <c:v>0.35416666666666669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A57-4795-99FB-E6DC4241DC57}"/>
            </c:ext>
          </c:extLst>
        </c:ser>
        <c:ser>
          <c:idx val="7"/>
          <c:order val="9"/>
          <c:tx>
            <c:strRef>
              <c:f>ACCU!$Y$2</c:f>
              <c:strCache>
                <c:ptCount val="1"/>
                <c:pt idx="0">
                  <c:v>3. Inicio de actividades AM</c:v>
                </c:pt>
              </c:strCache>
            </c:strRef>
          </c:tx>
          <c:spPr>
            <a:ln w="508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ACCU!$N$3:$N$7</c15:sqref>
                  </c15:fullRef>
                </c:ext>
              </c:extLst>
              <c:f>ACCU!$N$3:$N$7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ACCU!$Y$3:$Y$14</c15:sqref>
                  </c15:fullRef>
                </c:ext>
              </c:extLst>
              <c:f>ACCU!$Y$3:$Y$7</c:f>
              <c:numCache>
                <c:formatCode>h:mm</c:formatCode>
                <c:ptCount val="5"/>
                <c:pt idx="0">
                  <c:v>0.375</c:v>
                </c:pt>
                <c:pt idx="1">
                  <c:v>0.375</c:v>
                </c:pt>
                <c:pt idx="2">
                  <c:v>0.375</c:v>
                </c:pt>
                <c:pt idx="3">
                  <c:v>0.375</c:v>
                </c:pt>
                <c:pt idx="4">
                  <c:v>0.375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A57-4795-99FB-E6DC4241DC57}"/>
            </c:ext>
          </c:extLst>
        </c:ser>
        <c:ser>
          <c:idx val="8"/>
          <c:order val="10"/>
          <c:tx>
            <c:strRef>
              <c:f>ACCU!$Z$2</c:f>
              <c:strCache>
                <c:ptCount val="1"/>
                <c:pt idx="0">
                  <c:v>4. Término de actividades AM</c:v>
                </c:pt>
              </c:strCache>
            </c:strRef>
          </c:tx>
          <c:spPr>
            <a:ln w="508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ACCU!$N$3:$N$7</c15:sqref>
                  </c15:fullRef>
                </c:ext>
              </c:extLst>
              <c:f>ACCU!$N$3:$N$7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ACCU!$Z$3:$Z$14</c15:sqref>
                  </c15:fullRef>
                </c:ext>
              </c:extLst>
              <c:f>ACCU!$Z$3:$Z$7</c:f>
              <c:numCache>
                <c:formatCode>h:mm</c:formatCode>
                <c:ptCount val="5"/>
                <c:pt idx="0">
                  <c:v>0.59375</c:v>
                </c:pt>
                <c:pt idx="1">
                  <c:v>0.59375</c:v>
                </c:pt>
                <c:pt idx="2">
                  <c:v>0.59375</c:v>
                </c:pt>
                <c:pt idx="3">
                  <c:v>0.59375</c:v>
                </c:pt>
                <c:pt idx="4">
                  <c:v>0.59375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A57-4795-99FB-E6DC4241DC57}"/>
            </c:ext>
          </c:extLst>
        </c:ser>
        <c:ser>
          <c:idx val="10"/>
          <c:order val="11"/>
          <c:tx>
            <c:strRef>
              <c:f>ACCU!$AA$2</c:f>
              <c:strCache>
                <c:ptCount val="1"/>
                <c:pt idx="0">
                  <c:v>5. Almuerzo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ACCU!$N$3:$N$7</c15:sqref>
                  </c15:fullRef>
                </c:ext>
              </c:extLst>
              <c:f>ACCU!$N$3:$N$7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ACCU!$AA$3:$AA$7</c15:sqref>
                  </c15:fullRef>
                </c:ext>
              </c:extLst>
              <c:f>ACCU!$AA$3:$AA$7</c:f>
              <c:numCache>
                <c:formatCode>h:mm</c:formatCode>
                <c:ptCount val="5"/>
                <c:pt idx="0">
                  <c:v>0.61458333333333337</c:v>
                </c:pt>
                <c:pt idx="1">
                  <c:v>0.61458333333333337</c:v>
                </c:pt>
                <c:pt idx="2">
                  <c:v>0.61458333333333337</c:v>
                </c:pt>
                <c:pt idx="3">
                  <c:v>0.61458333333333337</c:v>
                </c:pt>
                <c:pt idx="4">
                  <c:v>0.61458333333333337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9D-4175-B618-9350432A1323}"/>
            </c:ext>
          </c:extLst>
        </c:ser>
        <c:ser>
          <c:idx val="14"/>
          <c:order val="12"/>
          <c:tx>
            <c:strRef>
              <c:f>ACCU!$AB$2</c:f>
              <c:strCache>
                <c:ptCount val="1"/>
                <c:pt idx="0">
                  <c:v>6. Inicio Actividades PM</c:v>
                </c:pt>
              </c:strCache>
            </c:strRef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ACCU!$N$3:$N$7</c15:sqref>
                  </c15:fullRef>
                </c:ext>
              </c:extLst>
              <c:f>ACCU!$N$3:$N$7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ACCU!$AB$3:$AB$14</c15:sqref>
                  </c15:fullRef>
                </c:ext>
              </c:extLst>
              <c:f>ACCU!$AB$3:$AB$7</c:f>
              <c:numCache>
                <c:formatCode>h:mm</c:formatCode>
                <c:ptCount val="5"/>
                <c:pt idx="0">
                  <c:v>0.63541666666666663</c:v>
                </c:pt>
                <c:pt idx="1">
                  <c:v>0.63541666666666663</c:v>
                </c:pt>
                <c:pt idx="2">
                  <c:v>0.63541666666666663</c:v>
                </c:pt>
                <c:pt idx="3">
                  <c:v>0.63541666666666663</c:v>
                </c:pt>
                <c:pt idx="4">
                  <c:v>0.63541666666666663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A57-4795-99FB-E6DC4241DC57}"/>
            </c:ext>
          </c:extLst>
        </c:ser>
        <c:ser>
          <c:idx val="19"/>
          <c:order val="13"/>
          <c:tx>
            <c:strRef>
              <c:f>ACCU!$AC$2</c:f>
              <c:strCache>
                <c:ptCount val="1"/>
                <c:pt idx="0">
                  <c:v>7. término Actividades PM</c:v>
                </c:pt>
              </c:strCache>
            </c:strRef>
          </c:tx>
          <c:spPr>
            <a:ln w="5080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ACCU!$N$3:$N$7</c15:sqref>
                  </c15:fullRef>
                </c:ext>
              </c:extLst>
              <c:f>ACCU!$N$3:$N$7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ACCU!$AC$3:$AC$14</c15:sqref>
                  </c15:fullRef>
                </c:ext>
              </c:extLst>
              <c:f>ACCU!$AC$3:$AC$7</c:f>
              <c:numCache>
                <c:formatCode>h:mm</c:formatCode>
                <c:ptCount val="5"/>
                <c:pt idx="0">
                  <c:v>0.66666666666666663</c:v>
                </c:pt>
                <c:pt idx="1">
                  <c:v>0.66666666666666663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21-40B8-A725-E65B89899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5997440"/>
        <c:axId val="360032320"/>
      </c:lineChart>
      <c:catAx>
        <c:axId val="173183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0795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73183392"/>
        <c:crossesAt val="0"/>
        <c:auto val="1"/>
        <c:lblAlgn val="ctr"/>
        <c:lblOffset val="60"/>
        <c:noMultiLvlLbl val="0"/>
      </c:catAx>
      <c:valAx>
        <c:axId val="173183392"/>
        <c:scaling>
          <c:orientation val="minMax"/>
          <c:max val="0.68000000000000016"/>
          <c:min val="0.33400000000000007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200"/>
                  <a:t>horario turno [h]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73183000"/>
        <c:crosses val="autoZero"/>
        <c:crossBetween val="between"/>
        <c:majorUnit val="4.1600000000000012E-2"/>
        <c:minorUnit val="8.3300000000000023E-3"/>
      </c:valAx>
      <c:valAx>
        <c:axId val="360032320"/>
        <c:scaling>
          <c:orientation val="minMax"/>
          <c:max val="0.68000000000000016"/>
          <c:min val="0.33400000000000007"/>
        </c:scaling>
        <c:delete val="0"/>
        <c:axPos val="r"/>
        <c:numFmt formatCode="h:mm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65997440"/>
        <c:crosses val="max"/>
        <c:crossBetween val="between"/>
        <c:majorUnit val="4.1600000000000012E-2"/>
      </c:valAx>
      <c:catAx>
        <c:axId val="6659974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0032320"/>
        <c:crosses val="autoZero"/>
        <c:auto val="1"/>
        <c:lblAlgn val="ctr"/>
        <c:lblOffset val="100"/>
        <c:noMultiLvlLbl val="0"/>
      </c:catAx>
      <c:spPr>
        <a:solidFill>
          <a:schemeClr val="bg1">
            <a:lumMod val="95000"/>
          </a:schemeClr>
        </a:solidFill>
        <a:ln w="180975"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r"/>
      <c:legendEntry>
        <c:idx val="6"/>
        <c:delete val="1"/>
      </c:legendEntry>
      <c:layout>
        <c:manualLayout>
          <c:xMode val="edge"/>
          <c:yMode val="edge"/>
          <c:x val="0.73396349538586303"/>
          <c:y val="4.2363227223204618E-2"/>
          <c:w val="0.25679428938626514"/>
          <c:h val="0.59664325885599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aseline="0">
          <a:solidFill>
            <a:schemeClr val="tx1"/>
          </a:solidFill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726410731206414E-2"/>
          <c:y val="6.881279470553453E-2"/>
          <c:w val="0.63174794686316249"/>
          <c:h val="0.827722525675281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Salvataje!$P$2</c:f>
              <c:strCache>
                <c:ptCount val="1"/>
                <c:pt idx="0">
                  <c:v>Llegada a instalación</c:v>
                </c:pt>
              </c:strCache>
            </c:strRef>
          </c:tx>
          <c:spPr>
            <a:solidFill>
              <a:schemeClr val="bg1"/>
            </a:solidFill>
            <a:ln w="0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Salvataje!$M$3:$N$7</c15:sqref>
                  </c15:fullRef>
                </c:ext>
              </c:extLst>
              <c:f>Salvataje!$M$3:$N$7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'!$P$3:$P$7</c15:sqref>
                  </c15:fullRef>
                </c:ext>
              </c:extLst>
              <c:f>'TTE 6 '!$P$3:$P$7</c:f>
              <c:numCache>
                <c:formatCode>h:mm</c:formatCode>
                <c:ptCount val="5"/>
                <c:pt idx="0">
                  <c:v>0.33333333333333331</c:v>
                </c:pt>
                <c:pt idx="1">
                  <c:v>0.33680555555555558</c:v>
                </c:pt>
                <c:pt idx="2">
                  <c:v>0.33333333333333331</c:v>
                </c:pt>
                <c:pt idx="3">
                  <c:v>0.33680555555555558</c:v>
                </c:pt>
                <c:pt idx="4">
                  <c:v>0.33333333333333331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26-49A1-8ED7-D2D018AAF059}"/>
            </c:ext>
          </c:extLst>
        </c:ser>
        <c:ser>
          <c:idx val="1"/>
          <c:order val="1"/>
          <c:tx>
            <c:strRef>
              <c:f>Salvataje!$Q$2</c:f>
              <c:strCache>
                <c:ptCount val="1"/>
                <c:pt idx="0">
                  <c:v>Tiempo en instalación 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Salvataje!$M$3:$N$7</c15:sqref>
                  </c15:fullRef>
                </c:ext>
              </c:extLst>
              <c:f>Salvataje!$M$3:$N$7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'!$Q$3:$Q$7</c15:sqref>
                  </c15:fullRef>
                </c:ext>
              </c:extLst>
              <c:f>'TTE 6 '!$Q$3:$Q$7</c:f>
              <c:numCache>
                <c:formatCode>h:mm</c:formatCode>
                <c:ptCount val="5"/>
                <c:pt idx="0">
                  <c:v>3.125E-2</c:v>
                </c:pt>
                <c:pt idx="1">
                  <c:v>2.0833333333333315E-2</c:v>
                </c:pt>
                <c:pt idx="2">
                  <c:v>2.777777777777779E-2</c:v>
                </c:pt>
                <c:pt idx="3">
                  <c:v>1.7361111111111105E-2</c:v>
                </c:pt>
                <c:pt idx="4">
                  <c:v>2.777777777777779E-2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26-49A1-8ED7-D2D018AAF059}"/>
            </c:ext>
          </c:extLst>
        </c:ser>
        <c:ser>
          <c:idx val="2"/>
          <c:order val="2"/>
          <c:tx>
            <c:strRef>
              <c:f>Salvataje!$R$2</c:f>
              <c:strCache>
                <c:ptCount val="1"/>
                <c:pt idx="0">
                  <c:v>Traslado a postura </c:v>
                </c:pt>
              </c:strCache>
            </c:strRef>
          </c:tx>
          <c:spPr>
            <a:solidFill>
              <a:srgbClr val="FF0000"/>
            </a:solidFill>
            <a:ln cap="sq" cmpd="sng"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Salvataje!$M$3:$N$7</c15:sqref>
                  </c15:fullRef>
                </c:ext>
              </c:extLst>
              <c:f>Salvataje!$M$3:$N$7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'!$R$3:$R$7</c15:sqref>
                  </c15:fullRef>
                </c:ext>
              </c:extLst>
              <c:f>'TTE 6 '!$R$3:$R$7</c:f>
              <c:numCache>
                <c:formatCode>h:mm</c:formatCode>
                <c:ptCount val="5"/>
                <c:pt idx="0">
                  <c:v>1.0416666666666685E-2</c:v>
                </c:pt>
                <c:pt idx="1">
                  <c:v>1.9444444444444486E-2</c:v>
                </c:pt>
                <c:pt idx="2">
                  <c:v>1.736111111111116E-2</c:v>
                </c:pt>
                <c:pt idx="3">
                  <c:v>1.7361111111111049E-2</c:v>
                </c:pt>
                <c:pt idx="4">
                  <c:v>1.736111111111116E-2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26-49A1-8ED7-D2D018AAF059}"/>
            </c:ext>
          </c:extLst>
        </c:ser>
        <c:ser>
          <c:idx val="3"/>
          <c:order val="3"/>
          <c:tx>
            <c:strRef>
              <c:f>Salvataje!$S$2</c:f>
              <c:strCache>
                <c:ptCount val="1"/>
                <c:pt idx="0">
                  <c:v>Tiempo disponible AM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Salvataje!$M$3:$N$7</c15:sqref>
                  </c15:fullRef>
                </c:ext>
              </c:extLst>
              <c:f>Salvataje!$M$3:$N$7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Salvataje!$S$3:$S$7</c15:sqref>
                  </c15:fullRef>
                </c:ext>
              </c:extLst>
              <c:f>Salvataje!$S$3:$S$7</c:f>
              <c:numCache>
                <c:formatCode>h:mm</c:formatCode>
                <c:ptCount val="5"/>
                <c:pt idx="0">
                  <c:v>0.22916666666666663</c:v>
                </c:pt>
                <c:pt idx="1">
                  <c:v>0.24166666666666675</c:v>
                </c:pt>
                <c:pt idx="2">
                  <c:v>0.22222222222222221</c:v>
                </c:pt>
                <c:pt idx="3">
                  <c:v>0.2048611111111111</c:v>
                </c:pt>
                <c:pt idx="4">
                  <c:v>0.23263888888888878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A26-49A1-8ED7-D2D018AAF059}"/>
            </c:ext>
          </c:extLst>
        </c:ser>
        <c:ser>
          <c:idx val="9"/>
          <c:order val="4"/>
          <c:tx>
            <c:strRef>
              <c:f>Salvataje!$T$2</c:f>
              <c:strCache>
                <c:ptCount val="1"/>
                <c:pt idx="0">
                  <c:v>Traslado Colación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Salvataje!$M$3:$N$7</c15:sqref>
                  </c15:fullRef>
                </c:ext>
              </c:extLst>
              <c:f>Salvataje!$M$3:$N$7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'!$T$3:$T$7</c15:sqref>
                  </c15:fullRef>
                </c:ext>
              </c:extLst>
              <c:f>'TTE 6 '!$T$3:$T$7</c:f>
              <c:numCache>
                <c:formatCode>h:mm</c:formatCode>
                <c:ptCount val="5"/>
                <c:pt idx="0">
                  <c:v>6.9444444444444198E-3</c:v>
                </c:pt>
                <c:pt idx="1">
                  <c:v>1.2500000000000067E-2</c:v>
                </c:pt>
                <c:pt idx="2">
                  <c:v>6.9444444444444198E-3</c:v>
                </c:pt>
                <c:pt idx="3">
                  <c:v>1.0416666666666741E-2</c:v>
                </c:pt>
                <c:pt idx="4">
                  <c:v>1.388888888888884E-2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A26-49A1-8ED7-D2D018AAF059}"/>
            </c:ext>
          </c:extLst>
        </c:ser>
        <c:ser>
          <c:idx val="4"/>
          <c:order val="5"/>
          <c:tx>
            <c:strRef>
              <c:f>Salvataje!$U$2</c:f>
              <c:strCache>
                <c:ptCount val="1"/>
                <c:pt idx="0">
                  <c:v>Almuerzo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Salvataje!$M$3:$N$7</c15:sqref>
                  </c15:fullRef>
                </c:ext>
              </c:extLst>
              <c:f>Salvataje!$M$3:$N$7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'!$U$3:$U$7</c15:sqref>
                  </c15:fullRef>
                </c:ext>
              </c:extLst>
              <c:f>'TTE 6 '!$U$3:$U$7</c:f>
              <c:numCache>
                <c:formatCode>h:mm</c:formatCode>
                <c:ptCount val="5"/>
                <c:pt idx="0">
                  <c:v>2.0833333333333259E-2</c:v>
                </c:pt>
                <c:pt idx="1">
                  <c:v>2.2222222222222254E-2</c:v>
                </c:pt>
                <c:pt idx="2">
                  <c:v>2.430555555555558E-2</c:v>
                </c:pt>
                <c:pt idx="3">
                  <c:v>2.430555555555558E-2</c:v>
                </c:pt>
                <c:pt idx="4">
                  <c:v>2.430555555555558E-2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A26-49A1-8ED7-D2D018AAF059}"/>
            </c:ext>
          </c:extLst>
        </c:ser>
        <c:ser>
          <c:idx val="12"/>
          <c:order val="6"/>
          <c:tx>
            <c:strRef>
              <c:f>Salvataje!$V$2</c:f>
              <c:strCache>
                <c:ptCount val="1"/>
                <c:pt idx="0">
                  <c:v>Tiempo disponible PM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Salvataje!$M$3:$N$7</c15:sqref>
                  </c15:fullRef>
                </c:ext>
              </c:extLst>
              <c:f>Salvataje!$M$3:$N$7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Salvataje!$V$3:$V$7</c15:sqref>
                  </c15:fullRef>
                </c:ext>
              </c:extLst>
              <c:f>Salvataje!$V$3:$V$7</c:f>
              <c:numCache>
                <c:formatCode>h:mm</c:formatCode>
                <c:ptCount val="5"/>
                <c:pt idx="0">
                  <c:v>2.777777777777779E-2</c:v>
                </c:pt>
                <c:pt idx="1">
                  <c:v>1.388888888888884E-2</c:v>
                </c:pt>
                <c:pt idx="2">
                  <c:v>2.430555555555558E-2</c:v>
                </c:pt>
                <c:pt idx="3">
                  <c:v>2.777777777777779E-2</c:v>
                </c:pt>
                <c:pt idx="4">
                  <c:v>6.944444444444442E-2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A26-49A1-8ED7-D2D018AAF0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666003712"/>
        <c:axId val="665997832"/>
      </c:barChart>
      <c:lineChart>
        <c:grouping val="standard"/>
        <c:varyColors val="0"/>
        <c:ser>
          <c:idx val="5"/>
          <c:order val="7"/>
          <c:tx>
            <c:strRef>
              <c:f>Salvataje!$W$2</c:f>
              <c:strCache>
                <c:ptCount val="1"/>
                <c:pt idx="0">
                  <c:v>1. Llegada a instalación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Salvataje!$N$3:$N$7</c15:sqref>
                  </c15:fullRef>
                </c:ext>
              </c:extLst>
              <c:f>Salvataje!$N$3:$N$7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'!$W$3:$W$14</c15:sqref>
                  </c15:fullRef>
                </c:ext>
              </c:extLst>
              <c:f>'TTE 6 '!$W$3:$W$7</c:f>
              <c:numCache>
                <c:formatCode>h:mm</c:formatCode>
                <c:ptCount val="5"/>
                <c:pt idx="0">
                  <c:v>0.33333333333333331</c:v>
                </c:pt>
                <c:pt idx="1">
                  <c:v>0.33333333333333331</c:v>
                </c:pt>
                <c:pt idx="2">
                  <c:v>0.33333333333333331</c:v>
                </c:pt>
                <c:pt idx="3">
                  <c:v>0.33333333333333331</c:v>
                </c:pt>
                <c:pt idx="4">
                  <c:v>0.33333333333333331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A26-49A1-8ED7-D2D018AAF059}"/>
            </c:ext>
          </c:extLst>
        </c:ser>
        <c:ser>
          <c:idx val="6"/>
          <c:order val="8"/>
          <c:tx>
            <c:strRef>
              <c:f>Salvataje!$X$2</c:f>
              <c:strCache>
                <c:ptCount val="1"/>
                <c:pt idx="0">
                  <c:v>2. Salida de instalación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Salvataje!$N$3:$N$7</c15:sqref>
                  </c15:fullRef>
                </c:ext>
              </c:extLst>
              <c:f>Salvataje!$N$3:$N$7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'!$X$3:$X$14</c15:sqref>
                  </c15:fullRef>
                </c:ext>
              </c:extLst>
              <c:f>'TTE 6 '!$X$3:$X$7</c:f>
              <c:numCache>
                <c:formatCode>h:mm</c:formatCode>
                <c:ptCount val="5"/>
                <c:pt idx="0">
                  <c:v>0.35416666666666669</c:v>
                </c:pt>
                <c:pt idx="1">
                  <c:v>0.35416666666666669</c:v>
                </c:pt>
                <c:pt idx="2">
                  <c:v>0.35416666666666669</c:v>
                </c:pt>
                <c:pt idx="3">
                  <c:v>0.35416666666666669</c:v>
                </c:pt>
                <c:pt idx="4">
                  <c:v>0.35416666666666669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A26-49A1-8ED7-D2D018AAF059}"/>
            </c:ext>
          </c:extLst>
        </c:ser>
        <c:ser>
          <c:idx val="7"/>
          <c:order val="9"/>
          <c:tx>
            <c:strRef>
              <c:f>Salvataje!$Y$2</c:f>
              <c:strCache>
                <c:ptCount val="1"/>
                <c:pt idx="0">
                  <c:v>3. Inicio de actividades AM</c:v>
                </c:pt>
              </c:strCache>
            </c:strRef>
          </c:tx>
          <c:spPr>
            <a:ln w="508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Salvataje!$N$3:$N$7</c15:sqref>
                  </c15:fullRef>
                </c:ext>
              </c:extLst>
              <c:f>Salvataje!$N$3:$N$7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'!$Y$3:$Y$14</c15:sqref>
                  </c15:fullRef>
                </c:ext>
              </c:extLst>
              <c:f>'TTE 6 '!$Y$3:$Y$7</c:f>
              <c:numCache>
                <c:formatCode>h:mm</c:formatCode>
                <c:ptCount val="5"/>
                <c:pt idx="0">
                  <c:v>0.375</c:v>
                </c:pt>
                <c:pt idx="1">
                  <c:v>0.375</c:v>
                </c:pt>
                <c:pt idx="2">
                  <c:v>0.375</c:v>
                </c:pt>
                <c:pt idx="3">
                  <c:v>0.375</c:v>
                </c:pt>
                <c:pt idx="4">
                  <c:v>0.375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A26-49A1-8ED7-D2D018AAF059}"/>
            </c:ext>
          </c:extLst>
        </c:ser>
        <c:ser>
          <c:idx val="8"/>
          <c:order val="10"/>
          <c:tx>
            <c:strRef>
              <c:f>Salvataje!$Z$2</c:f>
              <c:strCache>
                <c:ptCount val="1"/>
                <c:pt idx="0">
                  <c:v>4. Término de actividades AM</c:v>
                </c:pt>
              </c:strCache>
            </c:strRef>
          </c:tx>
          <c:spPr>
            <a:ln w="508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Salvataje!$N$3:$N$7</c15:sqref>
                  </c15:fullRef>
                </c:ext>
              </c:extLst>
              <c:f>Salvataje!$N$3:$N$7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'!$Z$3:$Z$14</c15:sqref>
                  </c15:fullRef>
                </c:ext>
              </c:extLst>
              <c:f>'TTE 6 '!$Z$3:$Z$7</c:f>
              <c:numCache>
                <c:formatCode>h:mm</c:formatCode>
                <c:ptCount val="5"/>
                <c:pt idx="0">
                  <c:v>0.59375</c:v>
                </c:pt>
                <c:pt idx="1">
                  <c:v>0.59375</c:v>
                </c:pt>
                <c:pt idx="2">
                  <c:v>0.59375</c:v>
                </c:pt>
                <c:pt idx="3">
                  <c:v>0.59375</c:v>
                </c:pt>
                <c:pt idx="4">
                  <c:v>0.59375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A26-49A1-8ED7-D2D018AAF059}"/>
            </c:ext>
          </c:extLst>
        </c:ser>
        <c:ser>
          <c:idx val="10"/>
          <c:order val="11"/>
          <c:tx>
            <c:strRef>
              <c:f>Salvataje!$AA$2</c:f>
              <c:strCache>
                <c:ptCount val="1"/>
                <c:pt idx="0">
                  <c:v>5. Almuerzo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Salvataje!$N$3:$N$7</c15:sqref>
                  </c15:fullRef>
                </c:ext>
              </c:extLst>
              <c:f>Salvataje!$N$3:$N$7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'!$AA$3:$AA$7</c15:sqref>
                  </c15:fullRef>
                </c:ext>
              </c:extLst>
              <c:f>'TTE 6 '!$AA$3:$AA$7</c:f>
              <c:numCache>
                <c:formatCode>h:mm</c:formatCode>
                <c:ptCount val="5"/>
                <c:pt idx="0">
                  <c:v>0.61458333333333337</c:v>
                </c:pt>
                <c:pt idx="1">
                  <c:v>0.61458333333333337</c:v>
                </c:pt>
                <c:pt idx="2">
                  <c:v>0.61458333333333337</c:v>
                </c:pt>
                <c:pt idx="3">
                  <c:v>0.61458333333333337</c:v>
                </c:pt>
                <c:pt idx="4">
                  <c:v>0.61458333333333337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A26-49A1-8ED7-D2D018AAF059}"/>
            </c:ext>
          </c:extLst>
        </c:ser>
        <c:ser>
          <c:idx val="14"/>
          <c:order val="12"/>
          <c:tx>
            <c:strRef>
              <c:f>Salvataje!$AB$2</c:f>
              <c:strCache>
                <c:ptCount val="1"/>
                <c:pt idx="0">
                  <c:v>6. Inicio Actividades PM</c:v>
                </c:pt>
              </c:strCache>
            </c:strRef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Salvataje!$N$3:$N$7</c15:sqref>
                  </c15:fullRef>
                </c:ext>
              </c:extLst>
              <c:f>Salvataje!$N$3:$N$7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'!$AB$3:$AB$14</c15:sqref>
                  </c15:fullRef>
                </c:ext>
              </c:extLst>
              <c:f>'TTE 6 '!$AB$3:$AB$7</c:f>
              <c:numCache>
                <c:formatCode>h:mm</c:formatCode>
                <c:ptCount val="5"/>
                <c:pt idx="0">
                  <c:v>0.63541666666666663</c:v>
                </c:pt>
                <c:pt idx="1">
                  <c:v>0.63541666666666663</c:v>
                </c:pt>
                <c:pt idx="2">
                  <c:v>0.63541666666666663</c:v>
                </c:pt>
                <c:pt idx="3">
                  <c:v>0.63541666666666663</c:v>
                </c:pt>
                <c:pt idx="4">
                  <c:v>0.63541666666666663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2A26-49A1-8ED7-D2D018AAF059}"/>
            </c:ext>
          </c:extLst>
        </c:ser>
        <c:ser>
          <c:idx val="19"/>
          <c:order val="13"/>
          <c:tx>
            <c:strRef>
              <c:f>Salvataje!$AC$2</c:f>
              <c:strCache>
                <c:ptCount val="1"/>
                <c:pt idx="0">
                  <c:v>7. término Actividades PM</c:v>
                </c:pt>
              </c:strCache>
            </c:strRef>
          </c:tx>
          <c:spPr>
            <a:ln w="5080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Salvataje!$N$3:$N$7</c15:sqref>
                  </c15:fullRef>
                </c:ext>
              </c:extLst>
              <c:f>Salvataje!$N$3:$N$7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'!$AC$3:$AC$14</c15:sqref>
                  </c15:fullRef>
                </c:ext>
              </c:extLst>
              <c:f>'TTE 6 '!$AC$3:$AC$7</c:f>
              <c:numCache>
                <c:formatCode>h:mm</c:formatCode>
                <c:ptCount val="5"/>
                <c:pt idx="0">
                  <c:v>0.66666666666666663</c:v>
                </c:pt>
                <c:pt idx="1">
                  <c:v>0.66666666666666663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2A26-49A1-8ED7-D2D018AAF0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6001752"/>
        <c:axId val="665998224"/>
      </c:lineChart>
      <c:catAx>
        <c:axId val="666003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0795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65997832"/>
        <c:crossesAt val="0"/>
        <c:auto val="1"/>
        <c:lblAlgn val="ctr"/>
        <c:lblOffset val="60"/>
        <c:noMultiLvlLbl val="0"/>
      </c:catAx>
      <c:valAx>
        <c:axId val="665997832"/>
        <c:scaling>
          <c:orientation val="minMax"/>
          <c:max val="0.68000000000000016"/>
          <c:min val="0.33400000000000007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200"/>
                  <a:t>horario turno [h]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66003712"/>
        <c:crosses val="autoZero"/>
        <c:crossBetween val="between"/>
        <c:majorUnit val="4.1600000000000012E-2"/>
        <c:minorUnit val="8.3300000000000023E-3"/>
      </c:valAx>
      <c:valAx>
        <c:axId val="665998224"/>
        <c:scaling>
          <c:orientation val="minMax"/>
          <c:max val="0.68000000000000016"/>
          <c:min val="0.33400000000000007"/>
        </c:scaling>
        <c:delete val="0"/>
        <c:axPos val="r"/>
        <c:numFmt formatCode="h:mm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66001752"/>
        <c:crosses val="max"/>
        <c:crossBetween val="between"/>
        <c:majorUnit val="4.1600000000000012E-2"/>
      </c:valAx>
      <c:catAx>
        <c:axId val="666001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65998224"/>
        <c:crosses val="autoZero"/>
        <c:auto val="1"/>
        <c:lblAlgn val="ctr"/>
        <c:lblOffset val="100"/>
        <c:noMultiLvlLbl val="0"/>
      </c:catAx>
      <c:spPr>
        <a:solidFill>
          <a:schemeClr val="bg1">
            <a:lumMod val="95000"/>
          </a:schemeClr>
        </a:solidFill>
        <a:ln w="180975"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r"/>
      <c:legendEntry>
        <c:idx val="6"/>
        <c:delete val="1"/>
      </c:legendEntry>
      <c:layout>
        <c:manualLayout>
          <c:xMode val="edge"/>
          <c:yMode val="edge"/>
          <c:x val="0.73396349538586303"/>
          <c:y val="4.2363227223204618E-2"/>
          <c:w val="0.25679428938626514"/>
          <c:h val="0.59664325885599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aseline="0">
          <a:solidFill>
            <a:schemeClr val="tx1"/>
          </a:solidFill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726410731206414E-2"/>
          <c:y val="6.881279470553453E-2"/>
          <c:w val="0.63174794686316249"/>
          <c:h val="0.827722525675281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'Vent '!$P$2</c:f>
              <c:strCache>
                <c:ptCount val="1"/>
                <c:pt idx="0">
                  <c:v>Llegada a instalación</c:v>
                </c:pt>
              </c:strCache>
            </c:strRef>
          </c:tx>
          <c:spPr>
            <a:solidFill>
              <a:schemeClr val="bg1"/>
            </a:solidFill>
            <a:ln w="0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'Vent '!$P$3:$P$7</c15:sqref>
                  </c15:fullRef>
                </c:ext>
              </c:extLst>
              <c:f>'Vent '!$P$3:$P$7</c:f>
              <c:numCache>
                <c:formatCode>h:mm</c:formatCode>
                <c:ptCount val="5"/>
                <c:pt idx="0">
                  <c:v>0.64583333333333337</c:v>
                </c:pt>
                <c:pt idx="1">
                  <c:v>0.64583333333333337</c:v>
                </c:pt>
                <c:pt idx="2">
                  <c:v>0.64583333333333337</c:v>
                </c:pt>
                <c:pt idx="3">
                  <c:v>0.64583333333333337</c:v>
                </c:pt>
                <c:pt idx="4">
                  <c:v>0.64583333333333337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7-4795-99FB-E6DC4241DC57}"/>
            </c:ext>
          </c:extLst>
        </c:ser>
        <c:ser>
          <c:idx val="1"/>
          <c:order val="1"/>
          <c:tx>
            <c:strRef>
              <c:f>'Vent '!$Q$2</c:f>
              <c:strCache>
                <c:ptCount val="1"/>
                <c:pt idx="0">
                  <c:v>Tiempo en instalación 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'Vent '!$Q$3:$Q$7</c15:sqref>
                  </c15:fullRef>
                </c:ext>
              </c:extLst>
              <c:f>'Vent '!$Q$3:$Q$7</c:f>
              <c:numCache>
                <c:formatCode>h:mm</c:formatCode>
                <c:ptCount val="5"/>
                <c:pt idx="0">
                  <c:v>3.4722222222222099E-2</c:v>
                </c:pt>
                <c:pt idx="1">
                  <c:v>3.819444444444442E-2</c:v>
                </c:pt>
                <c:pt idx="2">
                  <c:v>4.166666666666663E-2</c:v>
                </c:pt>
                <c:pt idx="3">
                  <c:v>3.4722222222222099E-2</c:v>
                </c:pt>
                <c:pt idx="4">
                  <c:v>4.513888888888884E-2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57-4795-99FB-E6DC4241DC57}"/>
            </c:ext>
          </c:extLst>
        </c:ser>
        <c:ser>
          <c:idx val="2"/>
          <c:order val="2"/>
          <c:tx>
            <c:strRef>
              <c:f>'Vent '!$R$2</c:f>
              <c:strCache>
                <c:ptCount val="1"/>
                <c:pt idx="0">
                  <c:v>Traslado a postura </c:v>
                </c:pt>
              </c:strCache>
            </c:strRef>
          </c:tx>
          <c:spPr>
            <a:solidFill>
              <a:srgbClr val="FF0000"/>
            </a:solidFill>
            <a:ln cap="sq" cmpd="sng"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'Vent '!$R$3:$R$7</c15:sqref>
                  </c15:fullRef>
                </c:ext>
              </c:extLst>
              <c:f>'Vent '!$R$3:$R$7</c:f>
              <c:numCache>
                <c:formatCode>h:mm</c:formatCode>
                <c:ptCount val="5"/>
                <c:pt idx="0">
                  <c:v>1.9444444444444597E-2</c:v>
                </c:pt>
                <c:pt idx="1">
                  <c:v>1.5277777777777835E-2</c:v>
                </c:pt>
                <c:pt idx="2">
                  <c:v>9.0277777777777457E-3</c:v>
                </c:pt>
                <c:pt idx="3">
                  <c:v>9.0277777777778567E-3</c:v>
                </c:pt>
                <c:pt idx="4">
                  <c:v>1.1111111111111183E-2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57-4795-99FB-E6DC4241DC57}"/>
            </c:ext>
          </c:extLst>
        </c:ser>
        <c:ser>
          <c:idx val="3"/>
          <c:order val="3"/>
          <c:tx>
            <c:strRef>
              <c:f>'Vent '!$S$2</c:f>
              <c:strCache>
                <c:ptCount val="1"/>
                <c:pt idx="0">
                  <c:v>Tiempo disponible AM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'Vent '!$S$3:$S$7</c15:sqref>
                  </c15:fullRef>
                </c:ext>
              </c:extLst>
              <c:f>'Vent '!$S$3:$S$7</c:f>
              <c:numCache>
                <c:formatCode>h:mm</c:formatCode>
                <c:ptCount val="5"/>
                <c:pt idx="0">
                  <c:v>0.18888888888888877</c:v>
                </c:pt>
                <c:pt idx="1">
                  <c:v>0.19652777777777775</c:v>
                </c:pt>
                <c:pt idx="2">
                  <c:v>0.19236111111111109</c:v>
                </c:pt>
                <c:pt idx="3">
                  <c:v>0.21319444444444446</c:v>
                </c:pt>
                <c:pt idx="4">
                  <c:v>0.2006944444444444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57-4795-99FB-E6DC4241DC57}"/>
            </c:ext>
          </c:extLst>
        </c:ser>
        <c:ser>
          <c:idx val="9"/>
          <c:order val="4"/>
          <c:tx>
            <c:strRef>
              <c:f>'Vent '!$T$2</c:f>
              <c:strCache>
                <c:ptCount val="1"/>
                <c:pt idx="0">
                  <c:v>Traslado Colación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'Vent '!$T$3:$T$7</c15:sqref>
                  </c15:fullRef>
                </c:ext>
              </c:extLst>
              <c:f>'Vent '!$T$3:$T$7</c:f>
              <c:numCache>
                <c:formatCode>h:mm</c:formatCode>
                <c:ptCount val="5"/>
                <c:pt idx="0">
                  <c:v>6.9444444444445308E-3</c:v>
                </c:pt>
                <c:pt idx="1">
                  <c:v>6.9444444444444198E-3</c:v>
                </c:pt>
                <c:pt idx="2">
                  <c:v>6.9444444444445308E-3</c:v>
                </c:pt>
                <c:pt idx="3">
                  <c:v>6.9444444444444198E-3</c:v>
                </c:pt>
                <c:pt idx="4">
                  <c:v>3.4722222222222099E-3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9D-4175-B618-9350432A1323}"/>
            </c:ext>
          </c:extLst>
        </c:ser>
        <c:ser>
          <c:idx val="4"/>
          <c:order val="5"/>
          <c:tx>
            <c:strRef>
              <c:f>'Vent '!$U$2</c:f>
              <c:strCache>
                <c:ptCount val="1"/>
                <c:pt idx="0">
                  <c:v>Almuerzo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'Vent '!$U$3:$U$7</c15:sqref>
                  </c15:fullRef>
                </c:ext>
              </c:extLst>
              <c:f>'Vent '!$U$3:$U$7</c:f>
              <c:numCache>
                <c:formatCode>h:mm</c:formatCode>
                <c:ptCount val="5"/>
                <c:pt idx="0">
                  <c:v>3.125E-2</c:v>
                </c:pt>
                <c:pt idx="1">
                  <c:v>3.125E-2</c:v>
                </c:pt>
                <c:pt idx="2">
                  <c:v>3.125E-2</c:v>
                </c:pt>
                <c:pt idx="3">
                  <c:v>2.430555555555558E-2</c:v>
                </c:pt>
                <c:pt idx="4">
                  <c:v>2.777777777777779E-2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57-4795-99FB-E6DC4241DC57}"/>
            </c:ext>
          </c:extLst>
        </c:ser>
        <c:ser>
          <c:idx val="12"/>
          <c:order val="6"/>
          <c:tx>
            <c:strRef>
              <c:f>'Vent '!$V$2</c:f>
              <c:strCache>
                <c:ptCount val="1"/>
                <c:pt idx="0">
                  <c:v>Tiempo disponible PM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'Vent '!$V$3:$V$7</c15:sqref>
                  </c15:fullRef>
                </c:ext>
              </c:extLst>
              <c:f>'Vent '!$V$3:$V$7</c:f>
              <c:numCache>
                <c:formatCode>h:mm</c:formatCode>
                <c:ptCount val="5"/>
                <c:pt idx="0">
                  <c:v>5.5555555555555469E-2</c:v>
                </c:pt>
                <c:pt idx="1">
                  <c:v>4.513888888888884E-2</c:v>
                </c:pt>
                <c:pt idx="2">
                  <c:v>5.902777777777779E-2</c:v>
                </c:pt>
                <c:pt idx="3">
                  <c:v>4.8611111111111049E-2</c:v>
                </c:pt>
                <c:pt idx="4">
                  <c:v>4.513888888888884E-2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57-4795-99FB-E6DC4241D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666002536"/>
        <c:axId val="666004888"/>
      </c:barChart>
      <c:lineChart>
        <c:grouping val="standard"/>
        <c:varyColors val="0"/>
        <c:ser>
          <c:idx val="5"/>
          <c:order val="7"/>
          <c:tx>
            <c:strRef>
              <c:f>'Vent '!$W$2</c:f>
              <c:strCache>
                <c:ptCount val="1"/>
                <c:pt idx="0">
                  <c:v>1. Llegada a instalación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'Vent '!$N$3:$N$7</c15:sqref>
                  </c15:fullRef>
                </c:ext>
              </c:extLst>
              <c:f>'Vent 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'Vent '!$W$3:$W$14</c15:sqref>
                  </c15:fullRef>
                </c:ext>
              </c:extLst>
              <c:f>'Vent '!$W$3:$W$7</c:f>
              <c:numCache>
                <c:formatCode>h:mm</c:formatCode>
                <c:ptCount val="5"/>
                <c:pt idx="0">
                  <c:v>0.33333333333333331</c:v>
                </c:pt>
                <c:pt idx="1">
                  <c:v>0.33333333333333331</c:v>
                </c:pt>
                <c:pt idx="2">
                  <c:v>0.33333333333333331</c:v>
                </c:pt>
                <c:pt idx="3">
                  <c:v>0.33333333333333331</c:v>
                </c:pt>
                <c:pt idx="4">
                  <c:v>0.33333333333333331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A57-4795-99FB-E6DC4241DC57}"/>
            </c:ext>
          </c:extLst>
        </c:ser>
        <c:ser>
          <c:idx val="6"/>
          <c:order val="8"/>
          <c:tx>
            <c:strRef>
              <c:f>'Vent '!$X$2</c:f>
              <c:strCache>
                <c:ptCount val="1"/>
                <c:pt idx="0">
                  <c:v>2. Salida de instalación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'Vent '!$N$3:$N$7</c15:sqref>
                  </c15:fullRef>
                </c:ext>
              </c:extLst>
              <c:f>'Vent 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'Vent '!$X$3:$X$14</c15:sqref>
                  </c15:fullRef>
                </c:ext>
              </c:extLst>
              <c:f>'Vent '!$X$3:$X$7</c:f>
              <c:numCache>
                <c:formatCode>h:mm</c:formatCode>
                <c:ptCount val="5"/>
                <c:pt idx="0">
                  <c:v>0.35416666666666669</c:v>
                </c:pt>
                <c:pt idx="1">
                  <c:v>0.35416666666666669</c:v>
                </c:pt>
                <c:pt idx="2">
                  <c:v>0.35416666666666669</c:v>
                </c:pt>
                <c:pt idx="3">
                  <c:v>0.35416666666666669</c:v>
                </c:pt>
                <c:pt idx="4">
                  <c:v>0.35416666666666669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A57-4795-99FB-E6DC4241DC57}"/>
            </c:ext>
          </c:extLst>
        </c:ser>
        <c:ser>
          <c:idx val="7"/>
          <c:order val="9"/>
          <c:tx>
            <c:strRef>
              <c:f>'Vent '!$Y$2</c:f>
              <c:strCache>
                <c:ptCount val="1"/>
                <c:pt idx="0">
                  <c:v>3. Inicio de actividades AM</c:v>
                </c:pt>
              </c:strCache>
            </c:strRef>
          </c:tx>
          <c:spPr>
            <a:ln w="508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'Vent '!$N$3:$N$7</c15:sqref>
                  </c15:fullRef>
                </c:ext>
              </c:extLst>
              <c:f>'Vent 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'Vent '!$Y$3:$Y$14</c15:sqref>
                  </c15:fullRef>
                </c:ext>
              </c:extLst>
              <c:f>'Vent '!$Y$3:$Y$7</c:f>
              <c:numCache>
                <c:formatCode>h:mm</c:formatCode>
                <c:ptCount val="5"/>
                <c:pt idx="0">
                  <c:v>0.375</c:v>
                </c:pt>
                <c:pt idx="1">
                  <c:v>0.375</c:v>
                </c:pt>
                <c:pt idx="2">
                  <c:v>0.375</c:v>
                </c:pt>
                <c:pt idx="3">
                  <c:v>0.375</c:v>
                </c:pt>
                <c:pt idx="4">
                  <c:v>0.375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A57-4795-99FB-E6DC4241DC57}"/>
            </c:ext>
          </c:extLst>
        </c:ser>
        <c:ser>
          <c:idx val="8"/>
          <c:order val="10"/>
          <c:tx>
            <c:strRef>
              <c:f>'Vent '!$Z$2</c:f>
              <c:strCache>
                <c:ptCount val="1"/>
                <c:pt idx="0">
                  <c:v>4. Término de actividades AM</c:v>
                </c:pt>
              </c:strCache>
            </c:strRef>
          </c:tx>
          <c:spPr>
            <a:ln w="508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'Vent '!$N$3:$N$7</c15:sqref>
                  </c15:fullRef>
                </c:ext>
              </c:extLst>
              <c:f>'Vent 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'Vent '!$Z$3:$Z$14</c15:sqref>
                  </c15:fullRef>
                </c:ext>
              </c:extLst>
              <c:f>'Vent '!$Z$3:$Z$7</c:f>
              <c:numCache>
                <c:formatCode>h:mm</c:formatCode>
                <c:ptCount val="5"/>
                <c:pt idx="0">
                  <c:v>0.59375</c:v>
                </c:pt>
                <c:pt idx="1">
                  <c:v>0.59375</c:v>
                </c:pt>
                <c:pt idx="2">
                  <c:v>0.59375</c:v>
                </c:pt>
                <c:pt idx="3">
                  <c:v>0.59375</c:v>
                </c:pt>
                <c:pt idx="4">
                  <c:v>0.59375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A57-4795-99FB-E6DC4241DC57}"/>
            </c:ext>
          </c:extLst>
        </c:ser>
        <c:ser>
          <c:idx val="10"/>
          <c:order val="11"/>
          <c:tx>
            <c:strRef>
              <c:f>'Vent '!$AA$2</c:f>
              <c:strCache>
                <c:ptCount val="1"/>
                <c:pt idx="0">
                  <c:v>5. Almuerzo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'Vent '!$N$3:$N$7</c15:sqref>
                  </c15:fullRef>
                </c:ext>
              </c:extLst>
              <c:f>'Vent 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'Vent '!$AA$3:$AA$7</c15:sqref>
                  </c15:fullRef>
                </c:ext>
              </c:extLst>
              <c:f>'Vent '!$AA$3:$AA$7</c:f>
              <c:numCache>
                <c:formatCode>h:mm</c:formatCode>
                <c:ptCount val="5"/>
                <c:pt idx="0">
                  <c:v>0.61458333333333337</c:v>
                </c:pt>
                <c:pt idx="1">
                  <c:v>0.61458333333333337</c:v>
                </c:pt>
                <c:pt idx="2">
                  <c:v>0.61458333333333337</c:v>
                </c:pt>
                <c:pt idx="3">
                  <c:v>0.61458333333333337</c:v>
                </c:pt>
                <c:pt idx="4">
                  <c:v>0.61458333333333337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9D-4175-B618-9350432A1323}"/>
            </c:ext>
          </c:extLst>
        </c:ser>
        <c:ser>
          <c:idx val="14"/>
          <c:order val="12"/>
          <c:tx>
            <c:strRef>
              <c:f>'Vent '!$AB$2</c:f>
              <c:strCache>
                <c:ptCount val="1"/>
                <c:pt idx="0">
                  <c:v>6. Inicio Actividades PM</c:v>
                </c:pt>
              </c:strCache>
            </c:strRef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'Vent '!$N$3:$N$7</c15:sqref>
                  </c15:fullRef>
                </c:ext>
              </c:extLst>
              <c:f>'Vent 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'Vent '!$AB$3:$AB$14</c15:sqref>
                  </c15:fullRef>
                </c:ext>
              </c:extLst>
              <c:f>'Vent '!$AB$3:$AB$7</c:f>
              <c:numCache>
                <c:formatCode>h:mm</c:formatCode>
                <c:ptCount val="5"/>
                <c:pt idx="0">
                  <c:v>0.63541666666666663</c:v>
                </c:pt>
                <c:pt idx="1">
                  <c:v>0.63541666666666663</c:v>
                </c:pt>
                <c:pt idx="2">
                  <c:v>0.63541666666666663</c:v>
                </c:pt>
                <c:pt idx="3">
                  <c:v>0.63541666666666663</c:v>
                </c:pt>
                <c:pt idx="4">
                  <c:v>0.63541666666666663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A57-4795-99FB-E6DC4241DC57}"/>
            </c:ext>
          </c:extLst>
        </c:ser>
        <c:ser>
          <c:idx val="19"/>
          <c:order val="13"/>
          <c:tx>
            <c:strRef>
              <c:f>'Vent '!$AC$2</c:f>
              <c:strCache>
                <c:ptCount val="1"/>
                <c:pt idx="0">
                  <c:v>7. término Actividades PM</c:v>
                </c:pt>
              </c:strCache>
            </c:strRef>
          </c:tx>
          <c:spPr>
            <a:ln w="5080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'Vent '!$N$3:$N$7</c15:sqref>
                  </c15:fullRef>
                </c:ext>
              </c:extLst>
              <c:f>'Vent 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'Vent '!$AC$3:$AC$14</c15:sqref>
                  </c15:fullRef>
                </c:ext>
              </c:extLst>
              <c:f>'Vent '!$AC$3:$AC$7</c:f>
              <c:numCache>
                <c:formatCode>h:mm</c:formatCode>
                <c:ptCount val="5"/>
                <c:pt idx="0">
                  <c:v>0.66666666666666663</c:v>
                </c:pt>
                <c:pt idx="1">
                  <c:v>0.66666666666666663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21-40B8-A725-E65B89899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5999008"/>
        <c:axId val="665998616"/>
      </c:lineChart>
      <c:catAx>
        <c:axId val="666002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0795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66004888"/>
        <c:crossesAt val="0"/>
        <c:auto val="1"/>
        <c:lblAlgn val="ctr"/>
        <c:lblOffset val="60"/>
        <c:noMultiLvlLbl val="0"/>
      </c:catAx>
      <c:valAx>
        <c:axId val="666004888"/>
        <c:scaling>
          <c:orientation val="minMax"/>
          <c:max val="0.996"/>
          <c:min val="0.6680000000000001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200"/>
                  <a:t>horario turno [h]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66002536"/>
        <c:crosses val="autoZero"/>
        <c:crossBetween val="between"/>
        <c:majorUnit val="4.1600000000000012E-2"/>
        <c:minorUnit val="8.3300000000000023E-3"/>
      </c:valAx>
      <c:valAx>
        <c:axId val="665998616"/>
        <c:scaling>
          <c:orientation val="minMax"/>
          <c:max val="0.68000000000000016"/>
          <c:min val="0.33400000000000007"/>
        </c:scaling>
        <c:delete val="0"/>
        <c:axPos val="r"/>
        <c:numFmt formatCode="h:mm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65999008"/>
        <c:crosses val="max"/>
        <c:crossBetween val="between"/>
        <c:majorUnit val="4.1600000000000012E-2"/>
      </c:valAx>
      <c:catAx>
        <c:axId val="6659990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65998616"/>
        <c:crosses val="autoZero"/>
        <c:auto val="1"/>
        <c:lblAlgn val="ctr"/>
        <c:lblOffset val="100"/>
        <c:noMultiLvlLbl val="0"/>
      </c:catAx>
      <c:spPr>
        <a:solidFill>
          <a:schemeClr val="bg1">
            <a:lumMod val="95000"/>
          </a:schemeClr>
        </a:solidFill>
        <a:ln w="180975"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r"/>
      <c:legendEntry>
        <c:idx val="6"/>
        <c:delete val="1"/>
      </c:legendEntry>
      <c:layout>
        <c:manualLayout>
          <c:xMode val="edge"/>
          <c:yMode val="edge"/>
          <c:x val="0.73396349538586303"/>
          <c:y val="4.2363227223204618E-2"/>
          <c:w val="0.25679428938626514"/>
          <c:h val="0.59664325885599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aseline="0">
          <a:solidFill>
            <a:schemeClr val="tx1"/>
          </a:solidFill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726410731206414E-2"/>
          <c:y val="6.881279470553453E-2"/>
          <c:w val="0.63174794686316249"/>
          <c:h val="0.827722525675281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'P M'!$P$2</c:f>
              <c:strCache>
                <c:ptCount val="1"/>
                <c:pt idx="0">
                  <c:v>Llegada a instalación</c:v>
                </c:pt>
              </c:strCache>
            </c:strRef>
          </c:tx>
          <c:spPr>
            <a:solidFill>
              <a:schemeClr val="bg1"/>
            </a:solidFill>
            <a:ln w="0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'P M'!$M$3:$N$7</c15:sqref>
                  </c15:fullRef>
                </c:ext>
              </c:extLst>
              <c:f>'P M'!$M$3:$N$7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 M'!$P$3:$P$7</c15:sqref>
                  </c15:fullRef>
                </c:ext>
              </c:extLst>
              <c:f>'P M'!$P$3:$P$7</c:f>
              <c:numCache>
                <c:formatCode>h:mm</c:formatCode>
                <c:ptCount val="5"/>
                <c:pt idx="0">
                  <c:v>0.3125</c:v>
                </c:pt>
                <c:pt idx="1">
                  <c:v>0.3125</c:v>
                </c:pt>
                <c:pt idx="2">
                  <c:v>0.3125</c:v>
                </c:pt>
                <c:pt idx="3">
                  <c:v>0.3125</c:v>
                </c:pt>
                <c:pt idx="4">
                  <c:v>0.3125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7-4795-99FB-E6DC4241DC57}"/>
            </c:ext>
          </c:extLst>
        </c:ser>
        <c:ser>
          <c:idx val="1"/>
          <c:order val="1"/>
          <c:tx>
            <c:strRef>
              <c:f>'P M'!$Q$2</c:f>
              <c:strCache>
                <c:ptCount val="1"/>
                <c:pt idx="0">
                  <c:v>Tiempo en instalación 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'P M'!$M$3:$N$7</c15:sqref>
                  </c15:fullRef>
                </c:ext>
              </c:extLst>
              <c:f>'P M'!$M$3:$N$7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 M'!$Q$3:$Q$7</c15:sqref>
                  </c15:fullRef>
                </c:ext>
              </c:extLst>
              <c:f>'P M'!$Q$3:$Q$7</c:f>
              <c:numCache>
                <c:formatCode>h:mm</c:formatCode>
                <c:ptCount val="5"/>
                <c:pt idx="0">
                  <c:v>3.819444444444442E-2</c:v>
                </c:pt>
                <c:pt idx="1">
                  <c:v>3.3333333333333381E-2</c:v>
                </c:pt>
                <c:pt idx="2">
                  <c:v>3.125E-2</c:v>
                </c:pt>
                <c:pt idx="3">
                  <c:v>2.7777777777777735E-2</c:v>
                </c:pt>
                <c:pt idx="4">
                  <c:v>3.125E-2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57-4795-99FB-E6DC4241DC57}"/>
            </c:ext>
          </c:extLst>
        </c:ser>
        <c:ser>
          <c:idx val="2"/>
          <c:order val="2"/>
          <c:tx>
            <c:strRef>
              <c:f>'P M'!$R$2</c:f>
              <c:strCache>
                <c:ptCount val="1"/>
                <c:pt idx="0">
                  <c:v>Traslado a postura </c:v>
                </c:pt>
              </c:strCache>
            </c:strRef>
          </c:tx>
          <c:spPr>
            <a:solidFill>
              <a:srgbClr val="FF0000"/>
            </a:solidFill>
            <a:ln cap="sq" cmpd="sng"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'P M'!$M$3:$N$7</c15:sqref>
                  </c15:fullRef>
                </c:ext>
              </c:extLst>
              <c:f>'P M'!$M$3:$N$7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 M'!$R$3:$R$7</c15:sqref>
                  </c15:fullRef>
                </c:ext>
              </c:extLst>
              <c:f>'P M'!$R$3:$R$7</c:f>
              <c:numCache>
                <c:formatCode>h:mm</c:formatCode>
                <c:ptCount val="5"/>
                <c:pt idx="0">
                  <c:v>2.430555555555558E-2</c:v>
                </c:pt>
                <c:pt idx="1">
                  <c:v>2.5694444444444353E-2</c:v>
                </c:pt>
                <c:pt idx="2">
                  <c:v>2.430555555555558E-2</c:v>
                </c:pt>
                <c:pt idx="3">
                  <c:v>2.083333333333337E-2</c:v>
                </c:pt>
                <c:pt idx="4">
                  <c:v>2.7777777777777735E-2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57-4795-99FB-E6DC4241DC57}"/>
            </c:ext>
          </c:extLst>
        </c:ser>
        <c:ser>
          <c:idx val="3"/>
          <c:order val="3"/>
          <c:tx>
            <c:strRef>
              <c:f>'P M'!$S$2</c:f>
              <c:strCache>
                <c:ptCount val="1"/>
                <c:pt idx="0">
                  <c:v>Tiempo disponible AM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'P M'!$M$3:$N$7</c15:sqref>
                  </c15:fullRef>
                </c:ext>
              </c:extLst>
              <c:f>'P M'!$M$3:$N$7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 M'!$S$3:$S$7</c15:sqref>
                  </c15:fullRef>
                </c:ext>
              </c:extLst>
              <c:f>'P M'!$S$3:$S$7</c:f>
              <c:numCache>
                <c:formatCode>h:mm</c:formatCode>
                <c:ptCount val="5"/>
                <c:pt idx="0">
                  <c:v>0.20833333333333337</c:v>
                </c:pt>
                <c:pt idx="1">
                  <c:v>0.2013888888888889</c:v>
                </c:pt>
                <c:pt idx="2">
                  <c:v>0.20833333333333337</c:v>
                </c:pt>
                <c:pt idx="3">
                  <c:v>0.20833333333333331</c:v>
                </c:pt>
                <c:pt idx="4">
                  <c:v>0.21527777777777785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57-4795-99FB-E6DC4241DC57}"/>
            </c:ext>
          </c:extLst>
        </c:ser>
        <c:ser>
          <c:idx val="9"/>
          <c:order val="4"/>
          <c:tx>
            <c:strRef>
              <c:f>'P M'!$T$2</c:f>
              <c:strCache>
                <c:ptCount val="1"/>
                <c:pt idx="0">
                  <c:v>Traslado Colación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'P M'!$M$3:$N$7</c15:sqref>
                  </c15:fullRef>
                </c:ext>
              </c:extLst>
              <c:f>'P M'!$M$3:$N$7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 M'!$T$3:$T$7</c15:sqref>
                  </c15:fullRef>
                </c:ext>
              </c:extLst>
              <c:f>'P M'!$T$3:$T$7</c:f>
              <c:numCache>
                <c:formatCode>h:mm</c:formatCode>
                <c:ptCount val="5"/>
                <c:pt idx="0">
                  <c:v>1.041666666666663E-2</c:v>
                </c:pt>
                <c:pt idx="1">
                  <c:v>1.0416666666666741E-2</c:v>
                </c:pt>
                <c:pt idx="2">
                  <c:v>1.388888888888884E-2</c:v>
                </c:pt>
                <c:pt idx="3">
                  <c:v>1.3888888888888951E-2</c:v>
                </c:pt>
                <c:pt idx="4">
                  <c:v>1.041666666666663E-2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9D-4175-B618-9350432A1323}"/>
            </c:ext>
          </c:extLst>
        </c:ser>
        <c:ser>
          <c:idx val="4"/>
          <c:order val="5"/>
          <c:tx>
            <c:strRef>
              <c:f>'P M'!$U$2</c:f>
              <c:strCache>
                <c:ptCount val="1"/>
                <c:pt idx="0">
                  <c:v>Almuerzo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'P M'!$M$3:$N$7</c15:sqref>
                  </c15:fullRef>
                </c:ext>
              </c:extLst>
              <c:f>'P M'!$M$3:$N$7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 M'!$U$3:$U$7</c15:sqref>
                  </c15:fullRef>
                </c:ext>
              </c:extLst>
              <c:f>'P M'!$U$3:$U$7</c:f>
              <c:numCache>
                <c:formatCode>h:mm</c:formatCode>
                <c:ptCount val="5"/>
                <c:pt idx="0">
                  <c:v>2.430555555555558E-2</c:v>
                </c:pt>
                <c:pt idx="1">
                  <c:v>2.7777777777777679E-2</c:v>
                </c:pt>
                <c:pt idx="2">
                  <c:v>2.777777777777779E-2</c:v>
                </c:pt>
                <c:pt idx="3">
                  <c:v>2.430555555555558E-2</c:v>
                </c:pt>
                <c:pt idx="4">
                  <c:v>3.125E-2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57-4795-99FB-E6DC4241DC57}"/>
            </c:ext>
          </c:extLst>
        </c:ser>
        <c:ser>
          <c:idx val="12"/>
          <c:order val="6"/>
          <c:tx>
            <c:strRef>
              <c:f>'P M'!$V$2</c:f>
              <c:strCache>
                <c:ptCount val="1"/>
                <c:pt idx="0">
                  <c:v>Tiempo disponible PM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'P M'!$M$3:$N$7</c15:sqref>
                  </c15:fullRef>
                </c:ext>
              </c:extLst>
              <c:f>'P M'!$M$3:$N$7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 M'!$V$3:$V$7</c15:sqref>
                  </c15:fullRef>
                </c:ext>
              </c:extLst>
              <c:f>'P M'!$V$3:$V$7</c:f>
              <c:numCache>
                <c:formatCode>h:mm</c:formatCode>
                <c:ptCount val="5"/>
                <c:pt idx="0">
                  <c:v>3.819444444444442E-2</c:v>
                </c:pt>
                <c:pt idx="1">
                  <c:v>4.5138888888888951E-2</c:v>
                </c:pt>
                <c:pt idx="2">
                  <c:v>3.472222222222221E-2</c:v>
                </c:pt>
                <c:pt idx="3">
                  <c:v>5.2083333333333259E-2</c:v>
                </c:pt>
                <c:pt idx="4">
                  <c:v>2.430555555555558E-2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57-4795-99FB-E6DC4241D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666003320"/>
        <c:axId val="665999400"/>
      </c:barChart>
      <c:lineChart>
        <c:grouping val="standard"/>
        <c:varyColors val="0"/>
        <c:ser>
          <c:idx val="5"/>
          <c:order val="7"/>
          <c:tx>
            <c:strRef>
              <c:f>'P M'!$W$2</c:f>
              <c:strCache>
                <c:ptCount val="1"/>
                <c:pt idx="0">
                  <c:v>1. Llegada a instalación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 M'!$N$3:$N$7</c15:sqref>
                  </c15:fullRef>
                </c:ext>
              </c:extLst>
              <c:f>'P M'!$N$3:$N$7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 M'!$W$3:$W$14</c15:sqref>
                  </c15:fullRef>
                </c:ext>
              </c:extLst>
              <c:f>'P M'!$W$3:$W$7</c:f>
              <c:numCache>
                <c:formatCode>h:mm</c:formatCode>
                <c:ptCount val="5"/>
                <c:pt idx="0">
                  <c:v>0.3125</c:v>
                </c:pt>
                <c:pt idx="1">
                  <c:v>0.3125</c:v>
                </c:pt>
                <c:pt idx="2">
                  <c:v>0.3125</c:v>
                </c:pt>
                <c:pt idx="3">
                  <c:v>0.3125</c:v>
                </c:pt>
                <c:pt idx="4">
                  <c:v>0.3125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A57-4795-99FB-E6DC4241DC57}"/>
            </c:ext>
          </c:extLst>
        </c:ser>
        <c:ser>
          <c:idx val="6"/>
          <c:order val="8"/>
          <c:tx>
            <c:strRef>
              <c:f>'P M'!$X$2</c:f>
              <c:strCache>
                <c:ptCount val="1"/>
                <c:pt idx="0">
                  <c:v>2. Salida de instalación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 M'!$N$3:$N$7</c15:sqref>
                  </c15:fullRef>
                </c:ext>
              </c:extLst>
              <c:f>'P M'!$N$3:$N$7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 M'!$X$3:$X$14</c15:sqref>
                  </c15:fullRef>
                </c:ext>
              </c:extLst>
              <c:f>'P M'!$X$3:$X$7</c:f>
              <c:numCache>
                <c:formatCode>h:mm</c:formatCode>
                <c:ptCount val="5"/>
                <c:pt idx="0">
                  <c:v>0.35416666666666669</c:v>
                </c:pt>
                <c:pt idx="1">
                  <c:v>0.35416666666666669</c:v>
                </c:pt>
                <c:pt idx="2">
                  <c:v>0.35416666666666669</c:v>
                </c:pt>
                <c:pt idx="3">
                  <c:v>0.35416666666666669</c:v>
                </c:pt>
                <c:pt idx="4">
                  <c:v>0.35416666666666669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A57-4795-99FB-E6DC4241DC57}"/>
            </c:ext>
          </c:extLst>
        </c:ser>
        <c:ser>
          <c:idx val="7"/>
          <c:order val="9"/>
          <c:tx>
            <c:strRef>
              <c:f>'P M'!$Y$2</c:f>
              <c:strCache>
                <c:ptCount val="1"/>
                <c:pt idx="0">
                  <c:v>3. Inicio de actividades AM</c:v>
                </c:pt>
              </c:strCache>
            </c:strRef>
          </c:tx>
          <c:spPr>
            <a:ln w="508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 M'!$N$3:$N$7</c15:sqref>
                  </c15:fullRef>
                </c:ext>
              </c:extLst>
              <c:f>'P M'!$N$3:$N$7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 M'!$Y$3:$Y$14</c15:sqref>
                  </c15:fullRef>
                </c:ext>
              </c:extLst>
              <c:f>'P M'!$Y$3:$Y$7</c:f>
              <c:numCache>
                <c:formatCode>h:mm</c:formatCode>
                <c:ptCount val="5"/>
                <c:pt idx="0">
                  <c:v>0.36458333333333331</c:v>
                </c:pt>
                <c:pt idx="1">
                  <c:v>0.36458333333333331</c:v>
                </c:pt>
                <c:pt idx="2">
                  <c:v>0.36458333333333331</c:v>
                </c:pt>
                <c:pt idx="3">
                  <c:v>0.36458333333333331</c:v>
                </c:pt>
                <c:pt idx="4">
                  <c:v>0.36458333333333331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A57-4795-99FB-E6DC4241DC57}"/>
            </c:ext>
          </c:extLst>
        </c:ser>
        <c:ser>
          <c:idx val="8"/>
          <c:order val="10"/>
          <c:tx>
            <c:strRef>
              <c:f>'P M'!$Z$2</c:f>
              <c:strCache>
                <c:ptCount val="1"/>
                <c:pt idx="0">
                  <c:v>4. Término de actividades AM</c:v>
                </c:pt>
              </c:strCache>
            </c:strRef>
          </c:tx>
          <c:spPr>
            <a:ln w="508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 M'!$N$3:$N$7</c15:sqref>
                  </c15:fullRef>
                </c:ext>
              </c:extLst>
              <c:f>'P M'!$N$3:$N$7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 M'!$Z$3:$Z$14</c15:sqref>
                  </c15:fullRef>
                </c:ext>
              </c:extLst>
              <c:f>'P M'!$Z$3:$Z$7</c:f>
              <c:numCache>
                <c:formatCode>h:mm</c:formatCode>
                <c:ptCount val="5"/>
                <c:pt idx="0">
                  <c:v>0.58333333333333337</c:v>
                </c:pt>
                <c:pt idx="1">
                  <c:v>0.58333333333333337</c:v>
                </c:pt>
                <c:pt idx="2">
                  <c:v>0.58333333333333337</c:v>
                </c:pt>
                <c:pt idx="3">
                  <c:v>0.58333333333333337</c:v>
                </c:pt>
                <c:pt idx="4">
                  <c:v>0.58333333333333337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A57-4795-99FB-E6DC4241DC57}"/>
            </c:ext>
          </c:extLst>
        </c:ser>
        <c:ser>
          <c:idx val="10"/>
          <c:order val="11"/>
          <c:tx>
            <c:strRef>
              <c:f>'P M'!$AA$2</c:f>
              <c:strCache>
                <c:ptCount val="1"/>
                <c:pt idx="0">
                  <c:v>5. Almuerzo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 M'!$N$3:$N$7</c15:sqref>
                  </c15:fullRef>
                </c:ext>
              </c:extLst>
              <c:f>'P M'!$N$3:$N$7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 M'!$AA$3:$AA$7</c15:sqref>
                  </c15:fullRef>
                </c:ext>
              </c:extLst>
              <c:f>'P M'!$AA$3:$AA$7</c:f>
              <c:numCache>
                <c:formatCode>h:mm</c:formatCode>
                <c:ptCount val="5"/>
                <c:pt idx="0">
                  <c:v>0.61111111111111105</c:v>
                </c:pt>
                <c:pt idx="1">
                  <c:v>0.61111111111111105</c:v>
                </c:pt>
                <c:pt idx="2">
                  <c:v>0.61111111111111105</c:v>
                </c:pt>
                <c:pt idx="3">
                  <c:v>0.61111111111111105</c:v>
                </c:pt>
                <c:pt idx="4">
                  <c:v>0.61111111111111105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9D-4175-B618-9350432A1323}"/>
            </c:ext>
          </c:extLst>
        </c:ser>
        <c:ser>
          <c:idx val="14"/>
          <c:order val="12"/>
          <c:tx>
            <c:strRef>
              <c:f>'P M'!$AB$2</c:f>
              <c:strCache>
                <c:ptCount val="1"/>
                <c:pt idx="0">
                  <c:v>6. Inicio Actividades PM</c:v>
                </c:pt>
              </c:strCache>
            </c:strRef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 M'!$N$3:$N$7</c15:sqref>
                  </c15:fullRef>
                </c:ext>
              </c:extLst>
              <c:f>'P M'!$N$3:$N$7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 M'!$AB$3:$AB$14</c15:sqref>
                  </c15:fullRef>
                </c:ext>
              </c:extLst>
              <c:f>'P M'!$AB$3:$AB$7</c:f>
              <c:numCache>
                <c:formatCode>h:mm</c:formatCode>
                <c:ptCount val="5"/>
                <c:pt idx="0">
                  <c:v>0.61805555555555558</c:v>
                </c:pt>
                <c:pt idx="1">
                  <c:v>0.61805555555555558</c:v>
                </c:pt>
                <c:pt idx="2">
                  <c:v>0.61805555555555558</c:v>
                </c:pt>
                <c:pt idx="3">
                  <c:v>0.61805555555555558</c:v>
                </c:pt>
                <c:pt idx="4">
                  <c:v>0.61805555555555558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A57-4795-99FB-E6DC4241DC57}"/>
            </c:ext>
          </c:extLst>
        </c:ser>
        <c:ser>
          <c:idx val="19"/>
          <c:order val="13"/>
          <c:tx>
            <c:strRef>
              <c:f>'P M'!$AC$2</c:f>
              <c:strCache>
                <c:ptCount val="1"/>
                <c:pt idx="0">
                  <c:v>7. término Actividades PM</c:v>
                </c:pt>
              </c:strCache>
            </c:strRef>
          </c:tx>
          <c:spPr>
            <a:ln w="5080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 M'!$N$3:$N$7</c15:sqref>
                  </c15:fullRef>
                </c:ext>
              </c:extLst>
              <c:f>'P M'!$N$3:$N$7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 M'!$AC$3:$AC$14</c15:sqref>
                  </c15:fullRef>
                </c:ext>
              </c:extLst>
              <c:f>'P M'!$AC$3:$AC$7</c:f>
              <c:numCache>
                <c:formatCode>h:mm</c:formatCode>
                <c:ptCount val="5"/>
                <c:pt idx="0">
                  <c:v>0.66666666666666663</c:v>
                </c:pt>
                <c:pt idx="1">
                  <c:v>0.66666666666666663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21-40B8-A725-E65B89899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5999792"/>
        <c:axId val="666004496"/>
      </c:lineChart>
      <c:catAx>
        <c:axId val="666003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0795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65999400"/>
        <c:crossesAt val="0"/>
        <c:auto val="1"/>
        <c:lblAlgn val="ctr"/>
        <c:lblOffset val="60"/>
        <c:noMultiLvlLbl val="0"/>
      </c:catAx>
      <c:valAx>
        <c:axId val="665999400"/>
        <c:scaling>
          <c:orientation val="minMax"/>
          <c:max val="0.66800000000000015"/>
          <c:min val="0.33400000000000007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200"/>
                  <a:t>horario turno [h]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66003320"/>
        <c:crosses val="autoZero"/>
        <c:crossBetween val="between"/>
        <c:majorUnit val="4.1600000000000012E-2"/>
        <c:minorUnit val="8.3300000000000023E-3"/>
      </c:valAx>
      <c:valAx>
        <c:axId val="666004496"/>
        <c:scaling>
          <c:orientation val="minMax"/>
          <c:max val="0.68000000000000016"/>
          <c:min val="0.33400000000000007"/>
        </c:scaling>
        <c:delete val="0"/>
        <c:axPos val="r"/>
        <c:numFmt formatCode="h:mm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65999792"/>
        <c:crosses val="max"/>
        <c:crossBetween val="between"/>
        <c:majorUnit val="4.1600000000000012E-2"/>
      </c:valAx>
      <c:catAx>
        <c:axId val="665999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66004496"/>
        <c:crosses val="autoZero"/>
        <c:auto val="1"/>
        <c:lblAlgn val="ctr"/>
        <c:lblOffset val="100"/>
        <c:noMultiLvlLbl val="0"/>
      </c:catAx>
      <c:spPr>
        <a:solidFill>
          <a:schemeClr val="bg1">
            <a:lumMod val="95000"/>
          </a:schemeClr>
        </a:solidFill>
        <a:ln w="180975"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r"/>
      <c:legendEntry>
        <c:idx val="6"/>
        <c:delete val="1"/>
      </c:legendEntry>
      <c:layout>
        <c:manualLayout>
          <c:xMode val="edge"/>
          <c:yMode val="edge"/>
          <c:x val="0.73396349538586303"/>
          <c:y val="4.2363227223204618E-2"/>
          <c:w val="0.25679428938626514"/>
          <c:h val="0.59664325885599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aseline="0">
          <a:solidFill>
            <a:schemeClr val="tx1"/>
          </a:solidFill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.png"/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.png"/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.png"/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.png"/><Relationship Id="rId1" Type="http://schemas.openxmlformats.org/officeDocument/2006/relationships/chart" Target="../charts/chart14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emf"/><Relationship Id="rId2" Type="http://schemas.openxmlformats.org/officeDocument/2006/relationships/image" Target="../media/image7.emf"/><Relationship Id="rId1" Type="http://schemas.openxmlformats.org/officeDocument/2006/relationships/image" Target="../media/image6.png"/><Relationship Id="rId5" Type="http://schemas.openxmlformats.org/officeDocument/2006/relationships/image" Target="../media/image10.png"/><Relationship Id="rId4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.png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.png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.png"/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.png"/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.png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398235</xdr:colOff>
      <xdr:row>17</xdr:row>
      <xdr:rowOff>146728</xdr:rowOff>
    </xdr:from>
    <xdr:to>
      <xdr:col>16</xdr:col>
      <xdr:colOff>457200</xdr:colOff>
      <xdr:row>53</xdr:row>
      <xdr:rowOff>110217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516391</xdr:colOff>
      <xdr:row>51</xdr:row>
      <xdr:rowOff>177799</xdr:rowOff>
    </xdr:from>
    <xdr:to>
      <xdr:col>11</xdr:col>
      <xdr:colOff>1054100</xdr:colOff>
      <xdr:row>53</xdr:row>
      <xdr:rowOff>65316</xdr:rowOff>
    </xdr:to>
    <xdr:sp macro="" textlink="G19">
      <xdr:nvSpPr>
        <xdr:cNvPr id="9" name="CuadroTexto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/>
      </xdr:nvSpPr>
      <xdr:spPr>
        <a:xfrm flipH="1">
          <a:off x="14638791" y="10985499"/>
          <a:ext cx="537709" cy="29391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E7D385A-72A3-4D2C-94A1-30A75ADBFE75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6:05</a:t>
          </a:fld>
          <a:endParaRPr lang="es-CL" sz="1050"/>
        </a:p>
      </xdr:txBody>
    </xdr:sp>
    <xdr:clientData/>
  </xdr:twoCellAnchor>
  <xdr:twoCellAnchor>
    <xdr:from>
      <xdr:col>10</xdr:col>
      <xdr:colOff>2027916</xdr:colOff>
      <xdr:row>51</xdr:row>
      <xdr:rowOff>177800</xdr:rowOff>
    </xdr:from>
    <xdr:to>
      <xdr:col>11</xdr:col>
      <xdr:colOff>25400</xdr:colOff>
      <xdr:row>53</xdr:row>
      <xdr:rowOff>54430</xdr:rowOff>
    </xdr:to>
    <xdr:sp macro="" textlink="G18">
      <xdr:nvSpPr>
        <xdr:cNvPr id="10" name="CuadroTexto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/>
      </xdr:nvSpPr>
      <xdr:spPr>
        <a:xfrm>
          <a:off x="13572216" y="10985500"/>
          <a:ext cx="575584" cy="28303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6325B6A7-A311-4833-BC91-A814A1F8764C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6:00</a:t>
          </a:fld>
          <a:endParaRPr lang="es-CL" sz="1050"/>
        </a:p>
      </xdr:txBody>
    </xdr:sp>
    <xdr:clientData/>
  </xdr:twoCellAnchor>
  <xdr:twoCellAnchor>
    <xdr:from>
      <xdr:col>12</xdr:col>
      <xdr:colOff>657859</xdr:colOff>
      <xdr:row>51</xdr:row>
      <xdr:rowOff>177800</xdr:rowOff>
    </xdr:from>
    <xdr:to>
      <xdr:col>13</xdr:col>
      <xdr:colOff>317500</xdr:colOff>
      <xdr:row>53</xdr:row>
      <xdr:rowOff>39916</xdr:rowOff>
    </xdr:to>
    <xdr:sp macro="" textlink="G20">
      <xdr:nvSpPr>
        <xdr:cNvPr id="11" name="CuadroTexto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/>
      </xdr:nvSpPr>
      <xdr:spPr>
        <a:xfrm flipH="1">
          <a:off x="15948659" y="10985500"/>
          <a:ext cx="510541" cy="2685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E5A5A6B-E513-4C35-9B95-0809204FBE31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5:50</a:t>
          </a:fld>
          <a:endParaRPr lang="es-CL" sz="1050"/>
        </a:p>
      </xdr:txBody>
    </xdr:sp>
    <xdr:clientData/>
  </xdr:twoCellAnchor>
  <xdr:twoCellAnchor>
    <xdr:from>
      <xdr:col>14</xdr:col>
      <xdr:colOff>325665</xdr:colOff>
      <xdr:row>41</xdr:row>
      <xdr:rowOff>80738</xdr:rowOff>
    </xdr:from>
    <xdr:to>
      <xdr:col>16</xdr:col>
      <xdr:colOff>38100</xdr:colOff>
      <xdr:row>42</xdr:row>
      <xdr:rowOff>135164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17318265" y="8856438"/>
          <a:ext cx="2176235" cy="2576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TENIENTE 6 ESMERALDA ACARREO</a:t>
          </a:r>
        </a:p>
      </xdr:txBody>
    </xdr:sp>
    <xdr:clientData/>
  </xdr:twoCellAnchor>
  <xdr:twoCellAnchor>
    <xdr:from>
      <xdr:col>15</xdr:col>
      <xdr:colOff>484412</xdr:colOff>
      <xdr:row>44</xdr:row>
      <xdr:rowOff>19958</xdr:rowOff>
    </xdr:from>
    <xdr:to>
      <xdr:col>15</xdr:col>
      <xdr:colOff>1042305</xdr:colOff>
      <xdr:row>45</xdr:row>
      <xdr:rowOff>115208</xdr:rowOff>
    </xdr:to>
    <xdr:sp macro="" textlink="G21">
      <xdr:nvSpPr>
        <xdr:cNvPr id="13" name="CuadroTexto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/>
      </xdr:nvSpPr>
      <xdr:spPr>
        <a:xfrm>
          <a:off x="18785112" y="9405258"/>
          <a:ext cx="55789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B387D8D-F093-4238-B980-BB02855E0B8B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6:00</a:t>
          </a:fld>
          <a:endParaRPr lang="es-CL" sz="1050"/>
        </a:p>
      </xdr:txBody>
    </xdr:sp>
    <xdr:clientData/>
  </xdr:twoCellAnchor>
  <xdr:twoCellAnchor>
    <xdr:from>
      <xdr:col>15</xdr:col>
      <xdr:colOff>484412</xdr:colOff>
      <xdr:row>46</xdr:row>
      <xdr:rowOff>122466</xdr:rowOff>
    </xdr:from>
    <xdr:to>
      <xdr:col>15</xdr:col>
      <xdr:colOff>1042305</xdr:colOff>
      <xdr:row>48</xdr:row>
      <xdr:rowOff>13609</xdr:rowOff>
    </xdr:to>
    <xdr:sp macro="" textlink="G22">
      <xdr:nvSpPr>
        <xdr:cNvPr id="15" name="CuadroTexto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 txBox="1"/>
      </xdr:nvSpPr>
      <xdr:spPr>
        <a:xfrm>
          <a:off x="18785112" y="9914166"/>
          <a:ext cx="557893" cy="2975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7004C28-1588-4759-9F86-D5305DD3B3F9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6:00</a:t>
          </a:fld>
          <a:endParaRPr lang="es-CL" sz="1050"/>
        </a:p>
      </xdr:txBody>
    </xdr:sp>
    <xdr:clientData/>
  </xdr:twoCellAnchor>
  <xdr:twoCellAnchor>
    <xdr:from>
      <xdr:col>15</xdr:col>
      <xdr:colOff>470805</xdr:colOff>
      <xdr:row>49</xdr:row>
      <xdr:rowOff>37194</xdr:rowOff>
    </xdr:from>
    <xdr:to>
      <xdr:col>15</xdr:col>
      <xdr:colOff>1028698</xdr:colOff>
      <xdr:row>50</xdr:row>
      <xdr:rowOff>132444</xdr:rowOff>
    </xdr:to>
    <xdr:sp macro="" textlink="G23">
      <xdr:nvSpPr>
        <xdr:cNvPr id="17" name="CuadroTexto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/>
      </xdr:nvSpPr>
      <xdr:spPr>
        <a:xfrm>
          <a:off x="18771505" y="10438494"/>
          <a:ext cx="55789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C3C6CCF-9DAD-4511-9A80-66EC5E2168A7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100%</a:t>
          </a:fld>
          <a:endParaRPr lang="es-CL" sz="1050"/>
        </a:p>
      </xdr:txBody>
    </xdr:sp>
    <xdr:clientData/>
  </xdr:twoCellAnchor>
  <xdr:twoCellAnchor>
    <xdr:from>
      <xdr:col>14</xdr:col>
      <xdr:colOff>559706</xdr:colOff>
      <xdr:row>44</xdr:row>
      <xdr:rowOff>29030</xdr:rowOff>
    </xdr:from>
    <xdr:to>
      <xdr:col>15</xdr:col>
      <xdr:colOff>397328</xdr:colOff>
      <xdr:row>45</xdr:row>
      <xdr:rowOff>135165</xdr:rowOff>
    </xdr:to>
    <xdr:sp macro="" textlink="">
      <xdr:nvSpPr>
        <xdr:cNvPr id="19" name="CuadroTexto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 txBox="1"/>
      </xdr:nvSpPr>
      <xdr:spPr>
        <a:xfrm>
          <a:off x="17552306" y="9414330"/>
          <a:ext cx="1145722" cy="3093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 baseline="0"/>
            <a:t>Disponible</a:t>
          </a:r>
        </a:p>
        <a:p>
          <a:endParaRPr lang="es-CL" sz="1100"/>
        </a:p>
      </xdr:txBody>
    </xdr:sp>
    <xdr:clientData/>
  </xdr:twoCellAnchor>
  <xdr:twoCellAnchor>
    <xdr:from>
      <xdr:col>14</xdr:col>
      <xdr:colOff>589642</xdr:colOff>
      <xdr:row>46</xdr:row>
      <xdr:rowOff>58965</xdr:rowOff>
    </xdr:from>
    <xdr:to>
      <xdr:col>15</xdr:col>
      <xdr:colOff>427264</xdr:colOff>
      <xdr:row>47</xdr:row>
      <xdr:rowOff>165101</xdr:rowOff>
    </xdr:to>
    <xdr:sp macro="" textlink="">
      <xdr:nvSpPr>
        <xdr:cNvPr id="20" name="CuadroTexto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 txBox="1"/>
      </xdr:nvSpPr>
      <xdr:spPr>
        <a:xfrm>
          <a:off x="17582242" y="9850665"/>
          <a:ext cx="1145722" cy="30933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Aspiración</a:t>
          </a:r>
        </a:p>
        <a:p>
          <a:endParaRPr lang="es-CL" sz="1100"/>
        </a:p>
        <a:p>
          <a:endParaRPr lang="es-CL" sz="1100"/>
        </a:p>
      </xdr:txBody>
    </xdr:sp>
    <xdr:clientData/>
  </xdr:twoCellAnchor>
  <xdr:twoCellAnchor>
    <xdr:from>
      <xdr:col>14</xdr:col>
      <xdr:colOff>565149</xdr:colOff>
      <xdr:row>49</xdr:row>
      <xdr:rowOff>8168</xdr:rowOff>
    </xdr:from>
    <xdr:to>
      <xdr:col>15</xdr:col>
      <xdr:colOff>402771</xdr:colOff>
      <xdr:row>50</xdr:row>
      <xdr:rowOff>113395</xdr:rowOff>
    </xdr:to>
    <xdr:sp macro="" textlink="">
      <xdr:nvSpPr>
        <xdr:cNvPr id="21" name="CuadroTexto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 txBox="1"/>
      </xdr:nvSpPr>
      <xdr:spPr>
        <a:xfrm>
          <a:off x="17557749" y="10409468"/>
          <a:ext cx="1145722" cy="30842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Cumplimiento</a:t>
          </a:r>
        </a:p>
      </xdr:txBody>
    </xdr:sp>
    <xdr:clientData/>
  </xdr:twoCellAnchor>
  <xdr:twoCellAnchor>
    <xdr:from>
      <xdr:col>9</xdr:col>
      <xdr:colOff>1061357</xdr:colOff>
      <xdr:row>51</xdr:row>
      <xdr:rowOff>171452</xdr:rowOff>
    </xdr:from>
    <xdr:to>
      <xdr:col>10</xdr:col>
      <xdr:colOff>285750</xdr:colOff>
      <xdr:row>53</xdr:row>
      <xdr:rowOff>62595</xdr:rowOff>
    </xdr:to>
    <xdr:sp macro="" textlink="G16">
      <xdr:nvSpPr>
        <xdr:cNvPr id="27" name="CuadroTexto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 txBox="1"/>
      </xdr:nvSpPr>
      <xdr:spPr>
        <a:xfrm>
          <a:off x="11253107" y="10921095"/>
          <a:ext cx="557893" cy="2993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46AEE9B-74D4-4247-8BC3-3F2230E8AA5E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6:10</a:t>
          </a:fld>
          <a:endParaRPr lang="es-CL" sz="1050"/>
        </a:p>
      </xdr:txBody>
    </xdr:sp>
    <xdr:clientData/>
  </xdr:twoCellAnchor>
  <xdr:twoCellAnchor>
    <xdr:from>
      <xdr:col>10</xdr:col>
      <xdr:colOff>972229</xdr:colOff>
      <xdr:row>51</xdr:row>
      <xdr:rowOff>185966</xdr:rowOff>
    </xdr:from>
    <xdr:to>
      <xdr:col>10</xdr:col>
      <xdr:colOff>1530122</xdr:colOff>
      <xdr:row>53</xdr:row>
      <xdr:rowOff>78016</xdr:rowOff>
    </xdr:to>
    <xdr:sp macro="" textlink="G17">
      <xdr:nvSpPr>
        <xdr:cNvPr id="28" name="CuadroTexto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 txBox="1"/>
      </xdr:nvSpPr>
      <xdr:spPr>
        <a:xfrm>
          <a:off x="12516529" y="10993666"/>
          <a:ext cx="55789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B92D3AF-B45E-461E-8C29-22B7DE936BDD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5:57</a:t>
          </a:fld>
          <a:endParaRPr lang="es-CL" sz="1050"/>
        </a:p>
      </xdr:txBody>
    </xdr:sp>
    <xdr:clientData/>
  </xdr:twoCellAnchor>
  <xdr:twoCellAnchor>
    <xdr:from>
      <xdr:col>10</xdr:col>
      <xdr:colOff>0</xdr:colOff>
      <xdr:row>13</xdr:row>
      <xdr:rowOff>0</xdr:rowOff>
    </xdr:from>
    <xdr:to>
      <xdr:col>10</xdr:col>
      <xdr:colOff>5275035</xdr:colOff>
      <xdr:row>16</xdr:row>
      <xdr:rowOff>143334</xdr:rowOff>
    </xdr:to>
    <xdr:sp macro="" textlink="">
      <xdr:nvSpPr>
        <xdr:cNvPr id="31" name="CuadroTexto 17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 txBox="1"/>
      </xdr:nvSpPr>
      <xdr:spPr>
        <a:xfrm>
          <a:off x="11484429" y="3347357"/>
          <a:ext cx="5275035" cy="755656"/>
        </a:xfrm>
        <a:prstGeom prst="rect">
          <a:avLst/>
        </a:prstGeom>
        <a:solidFill>
          <a:schemeClr val="bg2">
            <a:lumMod val="95000"/>
          </a:schemeClr>
        </a:solidFill>
        <a:ln w="19050">
          <a:solidFill>
            <a:srgbClr val="FF0000"/>
          </a:solidFill>
        </a:ln>
      </xdr:spPr>
      <xdr:txBody>
        <a:bodyPr wrap="square" rtlCol="0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265113" indent="-265113">
            <a:tabLst>
              <a:tab pos="265113" algn="l"/>
            </a:tabLst>
          </a:pPr>
          <a:r>
            <a:rPr lang="es-CL" sz="900"/>
            <a:t>LU: </a:t>
          </a:r>
        </a:p>
        <a:p>
          <a:pPr marL="265113" indent="-265113">
            <a:tabLst>
              <a:tab pos="265113" algn="l"/>
            </a:tabLst>
          </a:pPr>
          <a:r>
            <a:rPr lang="es-CL" sz="900"/>
            <a:t>MA: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MI:</a:t>
          </a:r>
          <a:r>
            <a:rPr lang="es-ES" sz="900" baseline="0"/>
            <a:t>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JU: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VI:  .</a:t>
          </a:r>
          <a:endParaRPr lang="es-CL" sz="900"/>
        </a:p>
      </xdr:txBody>
    </xdr:sp>
    <xdr:clientData/>
  </xdr:twoCellAnchor>
  <xdr:twoCellAnchor editAs="oneCell">
    <xdr:from>
      <xdr:col>3</xdr:col>
      <xdr:colOff>139701</xdr:colOff>
      <xdr:row>26</xdr:row>
      <xdr:rowOff>30327</xdr:rowOff>
    </xdr:from>
    <xdr:to>
      <xdr:col>6</xdr:col>
      <xdr:colOff>1130301</xdr:colOff>
      <xdr:row>31</xdr:row>
      <xdr:rowOff>76200</xdr:rowOff>
    </xdr:to>
    <xdr:pic>
      <xdr:nvPicPr>
        <xdr:cNvPr id="7" name="Imagen 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616201" y="5859627"/>
          <a:ext cx="4406900" cy="1061873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25</xdr:row>
      <xdr:rowOff>12700</xdr:rowOff>
    </xdr:from>
    <xdr:to>
      <xdr:col>6</xdr:col>
      <xdr:colOff>151275</xdr:colOff>
      <xdr:row>42</xdr:row>
      <xdr:rowOff>27225</xdr:rowOff>
    </xdr:to>
    <xdr:pic>
      <xdr:nvPicPr>
        <xdr:cNvPr id="14" name="Imagen 1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35100" y="5537200"/>
          <a:ext cx="4608975" cy="3468925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75655</xdr:colOff>
      <xdr:row>15</xdr:row>
      <xdr:rowOff>172128</xdr:rowOff>
    </xdr:from>
    <xdr:to>
      <xdr:col>21</xdr:col>
      <xdr:colOff>622300</xdr:colOff>
      <xdr:row>51</xdr:row>
      <xdr:rowOff>135617</xdr:rowOff>
    </xdr:to>
    <xdr:graphicFrame macro="">
      <xdr:nvGraphicFramePr>
        <xdr:cNvPr id="24" name="Gráfico 2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407170</xdr:colOff>
      <xdr:row>49</xdr:row>
      <xdr:rowOff>88900</xdr:rowOff>
    </xdr:from>
    <xdr:to>
      <xdr:col>17</xdr:col>
      <xdr:colOff>63499</xdr:colOff>
      <xdr:row>50</xdr:row>
      <xdr:rowOff>141516</xdr:rowOff>
    </xdr:to>
    <xdr:sp macro="" textlink="G19">
      <xdr:nvSpPr>
        <xdr:cNvPr id="25" name="CuadroTexto 24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/>
      </xdr:nvSpPr>
      <xdr:spPr>
        <a:xfrm flipH="1">
          <a:off x="14720070" y="10680700"/>
          <a:ext cx="507229" cy="2558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E7D385A-72A3-4D2C-94A1-30A75ADBFE75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6:59</a:t>
          </a:fld>
          <a:endParaRPr lang="es-CL" sz="1050"/>
        </a:p>
      </xdr:txBody>
    </xdr:sp>
    <xdr:clientData/>
  </xdr:twoCellAnchor>
  <xdr:twoCellAnchor>
    <xdr:from>
      <xdr:col>15</xdr:col>
      <xdr:colOff>44176</xdr:colOff>
      <xdr:row>49</xdr:row>
      <xdr:rowOff>76200</xdr:rowOff>
    </xdr:from>
    <xdr:to>
      <xdr:col>15</xdr:col>
      <xdr:colOff>596900</xdr:colOff>
      <xdr:row>50</xdr:row>
      <xdr:rowOff>139700</xdr:rowOff>
    </xdr:to>
    <xdr:sp macro="" textlink="G18">
      <xdr:nvSpPr>
        <xdr:cNvPr id="26" name="CuadroTexto 25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/>
      </xdr:nvSpPr>
      <xdr:spPr>
        <a:xfrm flipH="1">
          <a:off x="13506176" y="10668000"/>
          <a:ext cx="552724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6325B6A7-A311-4833-BC91-A814A1F8764C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6:47</a:t>
          </a:fld>
          <a:endParaRPr lang="es-CL" sz="1050"/>
        </a:p>
      </xdr:txBody>
    </xdr:sp>
    <xdr:clientData/>
  </xdr:twoCellAnchor>
  <xdr:twoCellAnchor>
    <xdr:from>
      <xdr:col>17</xdr:col>
      <xdr:colOff>599439</xdr:colOff>
      <xdr:row>49</xdr:row>
      <xdr:rowOff>101600</xdr:rowOff>
    </xdr:from>
    <xdr:to>
      <xdr:col>18</xdr:col>
      <xdr:colOff>279400</xdr:colOff>
      <xdr:row>50</xdr:row>
      <xdr:rowOff>128816</xdr:rowOff>
    </xdr:to>
    <xdr:sp macro="" textlink="G20">
      <xdr:nvSpPr>
        <xdr:cNvPr id="27" name="CuadroTexto 26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/>
      </xdr:nvSpPr>
      <xdr:spPr>
        <a:xfrm flipH="1">
          <a:off x="15763239" y="10693400"/>
          <a:ext cx="530861" cy="2304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E5A5A6B-E513-4C35-9B95-0809204FBE31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6:55</a:t>
          </a:fld>
          <a:endParaRPr lang="es-CL" sz="1050"/>
        </a:p>
      </xdr:txBody>
    </xdr:sp>
    <xdr:clientData/>
  </xdr:twoCellAnchor>
  <xdr:twoCellAnchor>
    <xdr:from>
      <xdr:col>19</xdr:col>
      <xdr:colOff>211365</xdr:colOff>
      <xdr:row>41</xdr:row>
      <xdr:rowOff>68038</xdr:rowOff>
    </xdr:from>
    <xdr:to>
      <xdr:col>21</xdr:col>
      <xdr:colOff>368300</xdr:colOff>
      <xdr:row>42</xdr:row>
      <xdr:rowOff>122464</xdr:rowOff>
    </xdr:to>
    <xdr:sp macro="" textlink="">
      <xdr:nvSpPr>
        <xdr:cNvPr id="28" name="CuadroTexto 27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17076965" y="9034238"/>
          <a:ext cx="1858735" cy="2576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TALLER</a:t>
          </a:r>
          <a:r>
            <a:rPr lang="es-CL" sz="1100" baseline="0"/>
            <a:t> </a:t>
          </a:r>
          <a:r>
            <a:rPr lang="es-CL" sz="1100"/>
            <a:t>LA JUNTA</a:t>
          </a:r>
        </a:p>
      </xdr:txBody>
    </xdr:sp>
    <xdr:clientData/>
  </xdr:twoCellAnchor>
  <xdr:twoCellAnchor>
    <xdr:from>
      <xdr:col>20</xdr:col>
      <xdr:colOff>509812</xdr:colOff>
      <xdr:row>44</xdr:row>
      <xdr:rowOff>7258</xdr:rowOff>
    </xdr:from>
    <xdr:to>
      <xdr:col>21</xdr:col>
      <xdr:colOff>216805</xdr:colOff>
      <xdr:row>45</xdr:row>
      <xdr:rowOff>102508</xdr:rowOff>
    </xdr:to>
    <xdr:sp macro="" textlink="G21">
      <xdr:nvSpPr>
        <xdr:cNvPr id="29" name="CuadroTexto 28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/>
      </xdr:nvSpPr>
      <xdr:spPr>
        <a:xfrm>
          <a:off x="18226312" y="9583058"/>
          <a:ext cx="55789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B387D8D-F093-4238-B980-BB02855E0B8B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6:54</a:t>
          </a:fld>
          <a:endParaRPr lang="es-CL" sz="1050"/>
        </a:p>
      </xdr:txBody>
    </xdr:sp>
    <xdr:clientData/>
  </xdr:twoCellAnchor>
  <xdr:twoCellAnchor>
    <xdr:from>
      <xdr:col>20</xdr:col>
      <xdr:colOff>509812</xdr:colOff>
      <xdr:row>46</xdr:row>
      <xdr:rowOff>109766</xdr:rowOff>
    </xdr:from>
    <xdr:to>
      <xdr:col>21</xdr:col>
      <xdr:colOff>216805</xdr:colOff>
      <xdr:row>48</xdr:row>
      <xdr:rowOff>909</xdr:rowOff>
    </xdr:to>
    <xdr:sp macro="" textlink="G22">
      <xdr:nvSpPr>
        <xdr:cNvPr id="30" name="CuadroTexto 29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 txBox="1"/>
      </xdr:nvSpPr>
      <xdr:spPr>
        <a:xfrm>
          <a:off x="18226312" y="10091966"/>
          <a:ext cx="557893" cy="2975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7004C28-1588-4759-9F86-D5305DD3B3F9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7:00</a:t>
          </a:fld>
          <a:endParaRPr lang="es-CL" sz="1050"/>
        </a:p>
      </xdr:txBody>
    </xdr:sp>
    <xdr:clientData/>
  </xdr:twoCellAnchor>
  <xdr:twoCellAnchor>
    <xdr:from>
      <xdr:col>20</xdr:col>
      <xdr:colOff>496205</xdr:colOff>
      <xdr:row>49</xdr:row>
      <xdr:rowOff>24494</xdr:rowOff>
    </xdr:from>
    <xdr:to>
      <xdr:col>21</xdr:col>
      <xdr:colOff>203198</xdr:colOff>
      <xdr:row>50</xdr:row>
      <xdr:rowOff>119744</xdr:rowOff>
    </xdr:to>
    <xdr:sp macro="" textlink="G23">
      <xdr:nvSpPr>
        <xdr:cNvPr id="31" name="CuadroTexto 30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/>
      </xdr:nvSpPr>
      <xdr:spPr>
        <a:xfrm>
          <a:off x="18212705" y="10616294"/>
          <a:ext cx="55789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C3C6CCF-9DAD-4511-9A80-66EC5E2168A7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99%</a:t>
          </a:fld>
          <a:endParaRPr lang="es-CL" sz="1050"/>
        </a:p>
      </xdr:txBody>
    </xdr:sp>
    <xdr:clientData/>
  </xdr:twoCellAnchor>
  <xdr:twoCellAnchor>
    <xdr:from>
      <xdr:col>19</xdr:col>
      <xdr:colOff>369206</xdr:colOff>
      <xdr:row>44</xdr:row>
      <xdr:rowOff>16330</xdr:rowOff>
    </xdr:from>
    <xdr:to>
      <xdr:col>20</xdr:col>
      <xdr:colOff>422728</xdr:colOff>
      <xdr:row>45</xdr:row>
      <xdr:rowOff>122465</xdr:rowOff>
    </xdr:to>
    <xdr:sp macro="" textlink="">
      <xdr:nvSpPr>
        <xdr:cNvPr id="32" name="CuadroTexto 31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 txBox="1"/>
      </xdr:nvSpPr>
      <xdr:spPr>
        <a:xfrm>
          <a:off x="17234806" y="9592130"/>
          <a:ext cx="904422" cy="3093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 baseline="0"/>
            <a:t>Disponible</a:t>
          </a:r>
        </a:p>
        <a:p>
          <a:endParaRPr lang="es-CL" sz="1100"/>
        </a:p>
      </xdr:txBody>
    </xdr:sp>
    <xdr:clientData/>
  </xdr:twoCellAnchor>
  <xdr:twoCellAnchor>
    <xdr:from>
      <xdr:col>19</xdr:col>
      <xdr:colOff>368662</xdr:colOff>
      <xdr:row>46</xdr:row>
      <xdr:rowOff>46265</xdr:rowOff>
    </xdr:from>
    <xdr:to>
      <xdr:col>20</xdr:col>
      <xdr:colOff>452664</xdr:colOff>
      <xdr:row>47</xdr:row>
      <xdr:rowOff>152401</xdr:rowOff>
    </xdr:to>
    <xdr:sp macro="" textlink="">
      <xdr:nvSpPr>
        <xdr:cNvPr id="33" name="CuadroTexto 32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 txBox="1"/>
      </xdr:nvSpPr>
      <xdr:spPr>
        <a:xfrm>
          <a:off x="17234262" y="10028465"/>
          <a:ext cx="934902" cy="30933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Aspiración</a:t>
          </a:r>
        </a:p>
        <a:p>
          <a:endParaRPr lang="es-CL" sz="1100"/>
        </a:p>
        <a:p>
          <a:endParaRPr lang="es-CL" sz="1100"/>
        </a:p>
      </xdr:txBody>
    </xdr:sp>
    <xdr:clientData/>
  </xdr:twoCellAnchor>
  <xdr:twoCellAnchor>
    <xdr:from>
      <xdr:col>19</xdr:col>
      <xdr:colOff>374649</xdr:colOff>
      <xdr:row>48</xdr:row>
      <xdr:rowOff>198668</xdr:rowOff>
    </xdr:from>
    <xdr:to>
      <xdr:col>20</xdr:col>
      <xdr:colOff>428171</xdr:colOff>
      <xdr:row>50</xdr:row>
      <xdr:rowOff>100695</xdr:rowOff>
    </xdr:to>
    <xdr:sp macro="" textlink="">
      <xdr:nvSpPr>
        <xdr:cNvPr id="34" name="CuadroTexto 33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 txBox="1"/>
      </xdr:nvSpPr>
      <xdr:spPr>
        <a:xfrm>
          <a:off x="17240249" y="10587268"/>
          <a:ext cx="904422" cy="30842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Cumplimiento</a:t>
          </a:r>
        </a:p>
      </xdr:txBody>
    </xdr:sp>
    <xdr:clientData/>
  </xdr:twoCellAnchor>
  <xdr:twoCellAnchor>
    <xdr:from>
      <xdr:col>12</xdr:col>
      <xdr:colOff>487317</xdr:colOff>
      <xdr:row>49</xdr:row>
      <xdr:rowOff>63500</xdr:rowOff>
    </xdr:from>
    <xdr:to>
      <xdr:col>13</xdr:col>
      <xdr:colOff>139700</xdr:colOff>
      <xdr:row>50</xdr:row>
      <xdr:rowOff>156575</xdr:rowOff>
    </xdr:to>
    <xdr:sp macro="" textlink="G16">
      <xdr:nvSpPr>
        <xdr:cNvPr id="35" name="CuadroTexto 34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 txBox="1"/>
      </xdr:nvSpPr>
      <xdr:spPr>
        <a:xfrm>
          <a:off x="11396617" y="10655300"/>
          <a:ext cx="503283" cy="2962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46AEE9B-74D4-4247-8BC3-3F2230E8AA5E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6:53</a:t>
          </a:fld>
          <a:endParaRPr lang="es-CL" sz="1050"/>
        </a:p>
      </xdr:txBody>
    </xdr:sp>
    <xdr:clientData/>
  </xdr:twoCellAnchor>
  <xdr:twoCellAnchor>
    <xdr:from>
      <xdr:col>13</xdr:col>
      <xdr:colOff>614089</xdr:colOff>
      <xdr:row>49</xdr:row>
      <xdr:rowOff>88900</xdr:rowOff>
    </xdr:from>
    <xdr:to>
      <xdr:col>14</xdr:col>
      <xdr:colOff>228600</xdr:colOff>
      <xdr:row>50</xdr:row>
      <xdr:rowOff>141516</xdr:rowOff>
    </xdr:to>
    <xdr:sp macro="" textlink="G17">
      <xdr:nvSpPr>
        <xdr:cNvPr id="36" name="CuadroTexto 35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 txBox="1"/>
      </xdr:nvSpPr>
      <xdr:spPr>
        <a:xfrm>
          <a:off x="12374289" y="10680700"/>
          <a:ext cx="465411" cy="2558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B92D3AF-B45E-461E-8C29-22B7DE936BDD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7:00</a:t>
          </a:fld>
          <a:endParaRPr lang="es-CL" sz="1050"/>
        </a:p>
      </xdr:txBody>
    </xdr:sp>
    <xdr:clientData/>
  </xdr:twoCellAnchor>
  <xdr:twoCellAnchor>
    <xdr:from>
      <xdr:col>10</xdr:col>
      <xdr:colOff>0</xdr:colOff>
      <xdr:row>13</xdr:row>
      <xdr:rowOff>0</xdr:rowOff>
    </xdr:from>
    <xdr:to>
      <xdr:col>10</xdr:col>
      <xdr:colOff>5275035</xdr:colOff>
      <xdr:row>16</xdr:row>
      <xdr:rowOff>143334</xdr:rowOff>
    </xdr:to>
    <xdr:sp macro="" textlink="">
      <xdr:nvSpPr>
        <xdr:cNvPr id="37" name="CuadroTexto 17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 txBox="1"/>
      </xdr:nvSpPr>
      <xdr:spPr>
        <a:xfrm>
          <a:off x="9067800" y="3177540"/>
          <a:ext cx="855435" cy="760554"/>
        </a:xfrm>
        <a:prstGeom prst="rect">
          <a:avLst/>
        </a:prstGeom>
        <a:solidFill>
          <a:schemeClr val="bg2">
            <a:lumMod val="95000"/>
          </a:schemeClr>
        </a:solidFill>
        <a:ln w="19050">
          <a:solidFill>
            <a:srgbClr val="FF0000"/>
          </a:solidFill>
        </a:ln>
      </xdr:spPr>
      <xdr:txBody>
        <a:bodyPr wrap="square" rtlCol="0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265113" indent="-265113">
            <a:tabLst>
              <a:tab pos="265113" algn="l"/>
            </a:tabLst>
          </a:pPr>
          <a:r>
            <a:rPr lang="es-CL" sz="900"/>
            <a:t>LU: </a:t>
          </a:r>
        </a:p>
        <a:p>
          <a:pPr marL="265113" indent="-265113">
            <a:tabLst>
              <a:tab pos="265113" algn="l"/>
            </a:tabLst>
          </a:pPr>
          <a:r>
            <a:rPr lang="es-CL" sz="900"/>
            <a:t>MA: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MI:</a:t>
          </a:r>
          <a:r>
            <a:rPr lang="es-ES" sz="900" baseline="0"/>
            <a:t>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JU: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VI:  .</a:t>
          </a:r>
          <a:endParaRPr lang="es-CL" sz="900"/>
        </a:p>
      </xdr:txBody>
    </xdr:sp>
    <xdr:clientData/>
  </xdr:twoCellAnchor>
  <xdr:twoCellAnchor editAs="oneCell">
    <xdr:from>
      <xdr:col>3</xdr:col>
      <xdr:colOff>139701</xdr:colOff>
      <xdr:row>26</xdr:row>
      <xdr:rowOff>30327</xdr:rowOff>
    </xdr:from>
    <xdr:to>
      <xdr:col>7</xdr:col>
      <xdr:colOff>416561</xdr:colOff>
      <xdr:row>31</xdr:row>
      <xdr:rowOff>76200</xdr:rowOff>
    </xdr:to>
    <xdr:pic>
      <xdr:nvPicPr>
        <xdr:cNvPr id="38" name="Imagen 3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00021" y="5905347"/>
          <a:ext cx="4391660" cy="1036473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24</xdr:row>
      <xdr:rowOff>76200</xdr:rowOff>
    </xdr:from>
    <xdr:to>
      <xdr:col>6</xdr:col>
      <xdr:colOff>862475</xdr:colOff>
      <xdr:row>41</xdr:row>
      <xdr:rowOff>90725</xdr:rowOff>
    </xdr:to>
    <xdr:pic>
      <xdr:nvPicPr>
        <xdr:cNvPr id="40" name="Imagen 3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01800" y="5588000"/>
          <a:ext cx="4608975" cy="3468925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278855</xdr:colOff>
      <xdr:row>17</xdr:row>
      <xdr:rowOff>7028</xdr:rowOff>
    </xdr:from>
    <xdr:to>
      <xdr:col>20</xdr:col>
      <xdr:colOff>825500</xdr:colOff>
      <xdr:row>52</xdr:row>
      <xdr:rowOff>173717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102370</xdr:colOff>
      <xdr:row>51</xdr:row>
      <xdr:rowOff>152400</xdr:rowOff>
    </xdr:from>
    <xdr:to>
      <xdr:col>14</xdr:col>
      <xdr:colOff>609599</xdr:colOff>
      <xdr:row>53</xdr:row>
      <xdr:rowOff>1816</xdr:rowOff>
    </xdr:to>
    <xdr:sp macro="" textlink="G19">
      <xdr:nvSpPr>
        <xdr:cNvPr id="15" name="CuadroTexto 14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/>
      </xdr:nvSpPr>
      <xdr:spPr>
        <a:xfrm flipH="1">
          <a:off x="12911590" y="10980420"/>
          <a:ext cx="507229" cy="24565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E7D385A-72A3-4D2C-94A1-30A75ADBFE75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6:32</a:t>
          </a:fld>
          <a:endParaRPr lang="es-CL" sz="1050"/>
        </a:p>
      </xdr:txBody>
    </xdr:sp>
    <xdr:clientData/>
  </xdr:twoCellAnchor>
  <xdr:twoCellAnchor>
    <xdr:from>
      <xdr:col>12</xdr:col>
      <xdr:colOff>590276</xdr:colOff>
      <xdr:row>51</xdr:row>
      <xdr:rowOff>139700</xdr:rowOff>
    </xdr:from>
    <xdr:to>
      <xdr:col>13</xdr:col>
      <xdr:colOff>292100</xdr:colOff>
      <xdr:row>53</xdr:row>
      <xdr:rowOff>0</xdr:rowOff>
    </xdr:to>
    <xdr:sp macro="" textlink="G18">
      <xdr:nvSpPr>
        <xdr:cNvPr id="16" name="CuadroTexto 15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/>
      </xdr:nvSpPr>
      <xdr:spPr>
        <a:xfrm flipH="1">
          <a:off x="11692616" y="10967720"/>
          <a:ext cx="555264" cy="2565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6325B6A7-A311-4833-BC91-A814A1F8764C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6:25</a:t>
          </a:fld>
          <a:endParaRPr lang="es-CL" sz="1050"/>
        </a:p>
      </xdr:txBody>
    </xdr:sp>
    <xdr:clientData/>
  </xdr:twoCellAnchor>
  <xdr:twoCellAnchor>
    <xdr:from>
      <xdr:col>15</xdr:col>
      <xdr:colOff>294639</xdr:colOff>
      <xdr:row>51</xdr:row>
      <xdr:rowOff>165100</xdr:rowOff>
    </xdr:from>
    <xdr:to>
      <xdr:col>15</xdr:col>
      <xdr:colOff>825500</xdr:colOff>
      <xdr:row>52</xdr:row>
      <xdr:rowOff>192316</xdr:rowOff>
    </xdr:to>
    <xdr:sp macro="" textlink="G20">
      <xdr:nvSpPr>
        <xdr:cNvPr id="17" name="CuadroTexto 16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/>
      </xdr:nvSpPr>
      <xdr:spPr>
        <a:xfrm flipH="1">
          <a:off x="13957299" y="10993120"/>
          <a:ext cx="530861" cy="22533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E5A5A6B-E513-4C35-9B95-0809204FBE31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6:00</a:t>
          </a:fld>
          <a:endParaRPr lang="es-CL" sz="1050"/>
        </a:p>
      </xdr:txBody>
    </xdr:sp>
    <xdr:clientData/>
  </xdr:twoCellAnchor>
  <xdr:twoCellAnchor>
    <xdr:from>
      <xdr:col>17</xdr:col>
      <xdr:colOff>46265</xdr:colOff>
      <xdr:row>41</xdr:row>
      <xdr:rowOff>68038</xdr:rowOff>
    </xdr:from>
    <xdr:to>
      <xdr:col>19</xdr:col>
      <xdr:colOff>203200</xdr:colOff>
      <xdr:row>42</xdr:row>
      <xdr:rowOff>122464</xdr:rowOff>
    </xdr:to>
    <xdr:sp macro="" textlink="">
      <xdr:nvSpPr>
        <xdr:cNvPr id="18" name="CuadroTexto 17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15415805" y="8914858"/>
          <a:ext cx="1863815" cy="25254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AIRE ACONDICIONADO</a:t>
          </a:r>
        </a:p>
      </xdr:txBody>
    </xdr:sp>
    <xdr:clientData/>
  </xdr:twoCellAnchor>
  <xdr:twoCellAnchor>
    <xdr:from>
      <xdr:col>18</xdr:col>
      <xdr:colOff>344712</xdr:colOff>
      <xdr:row>44</xdr:row>
      <xdr:rowOff>7258</xdr:rowOff>
    </xdr:from>
    <xdr:to>
      <xdr:col>19</xdr:col>
      <xdr:colOff>51705</xdr:colOff>
      <xdr:row>45</xdr:row>
      <xdr:rowOff>102508</xdr:rowOff>
    </xdr:to>
    <xdr:sp macro="" textlink="G21">
      <xdr:nvSpPr>
        <xdr:cNvPr id="19" name="CuadroTexto 18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/>
      </xdr:nvSpPr>
      <xdr:spPr>
        <a:xfrm>
          <a:off x="16567692" y="9448438"/>
          <a:ext cx="560433" cy="29337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B387D8D-F093-4238-B980-BB02855E0B8B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6:18</a:t>
          </a:fld>
          <a:endParaRPr lang="es-CL" sz="1050"/>
        </a:p>
      </xdr:txBody>
    </xdr:sp>
    <xdr:clientData/>
  </xdr:twoCellAnchor>
  <xdr:twoCellAnchor>
    <xdr:from>
      <xdr:col>18</xdr:col>
      <xdr:colOff>344712</xdr:colOff>
      <xdr:row>46</xdr:row>
      <xdr:rowOff>109766</xdr:rowOff>
    </xdr:from>
    <xdr:to>
      <xdr:col>19</xdr:col>
      <xdr:colOff>51705</xdr:colOff>
      <xdr:row>48</xdr:row>
      <xdr:rowOff>909</xdr:rowOff>
    </xdr:to>
    <xdr:sp macro="" textlink="G22">
      <xdr:nvSpPr>
        <xdr:cNvPr id="20" name="CuadroTexto 19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 txBox="1"/>
      </xdr:nvSpPr>
      <xdr:spPr>
        <a:xfrm>
          <a:off x="16567692" y="9947186"/>
          <a:ext cx="560433" cy="2873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7004C28-1588-4759-9F86-D5305DD3B3F9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6:00</a:t>
          </a:fld>
          <a:endParaRPr lang="es-CL" sz="1050"/>
        </a:p>
      </xdr:txBody>
    </xdr:sp>
    <xdr:clientData/>
  </xdr:twoCellAnchor>
  <xdr:twoCellAnchor>
    <xdr:from>
      <xdr:col>18</xdr:col>
      <xdr:colOff>331105</xdr:colOff>
      <xdr:row>49</xdr:row>
      <xdr:rowOff>24494</xdr:rowOff>
    </xdr:from>
    <xdr:to>
      <xdr:col>19</xdr:col>
      <xdr:colOff>38098</xdr:colOff>
      <xdr:row>50</xdr:row>
      <xdr:rowOff>119744</xdr:rowOff>
    </xdr:to>
    <xdr:sp macro="" textlink="G23">
      <xdr:nvSpPr>
        <xdr:cNvPr id="21" name="CuadroTexto 20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/>
      </xdr:nvSpPr>
      <xdr:spPr>
        <a:xfrm>
          <a:off x="16554085" y="10456274"/>
          <a:ext cx="560433" cy="29337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C3C6CCF-9DAD-4511-9A80-66EC5E2168A7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105%</a:t>
          </a:fld>
          <a:endParaRPr lang="es-CL" sz="1050"/>
        </a:p>
      </xdr:txBody>
    </xdr:sp>
    <xdr:clientData/>
  </xdr:twoCellAnchor>
  <xdr:twoCellAnchor>
    <xdr:from>
      <xdr:col>17</xdr:col>
      <xdr:colOff>204106</xdr:colOff>
      <xdr:row>44</xdr:row>
      <xdr:rowOff>16330</xdr:rowOff>
    </xdr:from>
    <xdr:to>
      <xdr:col>18</xdr:col>
      <xdr:colOff>257628</xdr:colOff>
      <xdr:row>45</xdr:row>
      <xdr:rowOff>122465</xdr:rowOff>
    </xdr:to>
    <xdr:sp macro="" textlink="">
      <xdr:nvSpPr>
        <xdr:cNvPr id="22" name="CuadroTexto 21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 txBox="1"/>
      </xdr:nvSpPr>
      <xdr:spPr>
        <a:xfrm>
          <a:off x="15573646" y="9457510"/>
          <a:ext cx="906962" cy="30425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 baseline="0"/>
            <a:t>Disponible</a:t>
          </a:r>
        </a:p>
        <a:p>
          <a:endParaRPr lang="es-CL" sz="1100"/>
        </a:p>
      </xdr:txBody>
    </xdr:sp>
    <xdr:clientData/>
  </xdr:twoCellAnchor>
  <xdr:twoCellAnchor>
    <xdr:from>
      <xdr:col>17</xdr:col>
      <xdr:colOff>203562</xdr:colOff>
      <xdr:row>46</xdr:row>
      <xdr:rowOff>46265</xdr:rowOff>
    </xdr:from>
    <xdr:to>
      <xdr:col>18</xdr:col>
      <xdr:colOff>287564</xdr:colOff>
      <xdr:row>47</xdr:row>
      <xdr:rowOff>152401</xdr:rowOff>
    </xdr:to>
    <xdr:sp macro="" textlink="">
      <xdr:nvSpPr>
        <xdr:cNvPr id="23" name="CuadroTexto 22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 txBox="1"/>
      </xdr:nvSpPr>
      <xdr:spPr>
        <a:xfrm>
          <a:off x="15573102" y="9883685"/>
          <a:ext cx="937442" cy="30425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Aspiración</a:t>
          </a:r>
        </a:p>
        <a:p>
          <a:endParaRPr lang="es-CL" sz="1100"/>
        </a:p>
        <a:p>
          <a:endParaRPr lang="es-CL" sz="1100"/>
        </a:p>
      </xdr:txBody>
    </xdr:sp>
    <xdr:clientData/>
  </xdr:twoCellAnchor>
  <xdr:twoCellAnchor>
    <xdr:from>
      <xdr:col>17</xdr:col>
      <xdr:colOff>209549</xdr:colOff>
      <xdr:row>48</xdr:row>
      <xdr:rowOff>198668</xdr:rowOff>
    </xdr:from>
    <xdr:to>
      <xdr:col>18</xdr:col>
      <xdr:colOff>263071</xdr:colOff>
      <xdr:row>50</xdr:row>
      <xdr:rowOff>100695</xdr:rowOff>
    </xdr:to>
    <xdr:sp macro="" textlink="">
      <xdr:nvSpPr>
        <xdr:cNvPr id="24" name="CuadroTexto 23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 txBox="1"/>
      </xdr:nvSpPr>
      <xdr:spPr>
        <a:xfrm>
          <a:off x="15579089" y="10432328"/>
          <a:ext cx="906962" cy="29826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Cumplimiento</a:t>
          </a:r>
        </a:p>
      </xdr:txBody>
    </xdr:sp>
    <xdr:clientData/>
  </xdr:twoCellAnchor>
  <xdr:twoCellAnchor>
    <xdr:from>
      <xdr:col>10</xdr:col>
      <xdr:colOff>182517</xdr:colOff>
      <xdr:row>51</xdr:row>
      <xdr:rowOff>127000</xdr:rowOff>
    </xdr:from>
    <xdr:to>
      <xdr:col>10</xdr:col>
      <xdr:colOff>685800</xdr:colOff>
      <xdr:row>53</xdr:row>
      <xdr:rowOff>24495</xdr:rowOff>
    </xdr:to>
    <xdr:sp macro="" textlink="G16">
      <xdr:nvSpPr>
        <xdr:cNvPr id="25" name="CuadroTexto 24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 txBox="1"/>
      </xdr:nvSpPr>
      <xdr:spPr>
        <a:xfrm>
          <a:off x="9577977" y="10955020"/>
          <a:ext cx="503283" cy="2937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46AEE9B-74D4-4247-8BC3-3F2230E8AA5E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6:10</a:t>
          </a:fld>
          <a:endParaRPr lang="es-CL" sz="1050"/>
        </a:p>
      </xdr:txBody>
    </xdr:sp>
    <xdr:clientData/>
  </xdr:twoCellAnchor>
  <xdr:twoCellAnchor>
    <xdr:from>
      <xdr:col>11</xdr:col>
      <xdr:colOff>309289</xdr:colOff>
      <xdr:row>51</xdr:row>
      <xdr:rowOff>152400</xdr:rowOff>
    </xdr:from>
    <xdr:to>
      <xdr:col>11</xdr:col>
      <xdr:colOff>774700</xdr:colOff>
      <xdr:row>53</xdr:row>
      <xdr:rowOff>1816</xdr:rowOff>
    </xdr:to>
    <xdr:sp macro="" textlink="G17">
      <xdr:nvSpPr>
        <xdr:cNvPr id="26" name="CuadroTexto 25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 txBox="1"/>
      </xdr:nvSpPr>
      <xdr:spPr>
        <a:xfrm>
          <a:off x="10558189" y="10980420"/>
          <a:ext cx="465411" cy="24565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B92D3AF-B45E-461E-8C29-22B7DE936BDD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6:25</a:t>
          </a:fld>
          <a:endParaRPr lang="es-CL" sz="1050"/>
        </a:p>
      </xdr:txBody>
    </xdr:sp>
    <xdr:clientData/>
  </xdr:twoCellAnchor>
  <xdr:twoCellAnchor>
    <xdr:from>
      <xdr:col>10</xdr:col>
      <xdr:colOff>0</xdr:colOff>
      <xdr:row>13</xdr:row>
      <xdr:rowOff>0</xdr:rowOff>
    </xdr:from>
    <xdr:to>
      <xdr:col>10</xdr:col>
      <xdr:colOff>5275035</xdr:colOff>
      <xdr:row>16</xdr:row>
      <xdr:rowOff>143334</xdr:rowOff>
    </xdr:to>
    <xdr:sp macro="" textlink="">
      <xdr:nvSpPr>
        <xdr:cNvPr id="27" name="CuadroTexto 17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 txBox="1"/>
      </xdr:nvSpPr>
      <xdr:spPr>
        <a:xfrm>
          <a:off x="9395460" y="3177540"/>
          <a:ext cx="855435" cy="760554"/>
        </a:xfrm>
        <a:prstGeom prst="rect">
          <a:avLst/>
        </a:prstGeom>
        <a:solidFill>
          <a:schemeClr val="bg2">
            <a:lumMod val="95000"/>
          </a:schemeClr>
        </a:solidFill>
        <a:ln w="19050">
          <a:solidFill>
            <a:srgbClr val="FF0000"/>
          </a:solidFill>
        </a:ln>
      </xdr:spPr>
      <xdr:txBody>
        <a:bodyPr wrap="square" rtlCol="0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265113" indent="-265113">
            <a:tabLst>
              <a:tab pos="265113" algn="l"/>
            </a:tabLst>
          </a:pPr>
          <a:r>
            <a:rPr lang="es-CL" sz="900"/>
            <a:t>LU: </a:t>
          </a:r>
        </a:p>
        <a:p>
          <a:pPr marL="265113" indent="-265113">
            <a:tabLst>
              <a:tab pos="265113" algn="l"/>
            </a:tabLst>
          </a:pPr>
          <a:r>
            <a:rPr lang="es-CL" sz="900"/>
            <a:t>MA: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MI:</a:t>
          </a:r>
          <a:r>
            <a:rPr lang="es-ES" sz="900" baseline="0"/>
            <a:t>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JU: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VI:  .</a:t>
          </a:r>
          <a:endParaRPr lang="es-CL" sz="900"/>
        </a:p>
      </xdr:txBody>
    </xdr:sp>
    <xdr:clientData/>
  </xdr:twoCellAnchor>
  <xdr:twoCellAnchor editAs="oneCell">
    <xdr:from>
      <xdr:col>3</xdr:col>
      <xdr:colOff>139701</xdr:colOff>
      <xdr:row>26</xdr:row>
      <xdr:rowOff>30327</xdr:rowOff>
    </xdr:from>
    <xdr:to>
      <xdr:col>7</xdr:col>
      <xdr:colOff>238761</xdr:colOff>
      <xdr:row>31</xdr:row>
      <xdr:rowOff>76200</xdr:rowOff>
    </xdr:to>
    <xdr:pic>
      <xdr:nvPicPr>
        <xdr:cNvPr id="28" name="Imagen 2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00021" y="5905347"/>
          <a:ext cx="4391660" cy="1036473"/>
        </a:xfrm>
        <a:prstGeom prst="rect">
          <a:avLst/>
        </a:prstGeom>
      </xdr:spPr>
    </xdr:pic>
    <xdr:clientData/>
  </xdr:twoCellAnchor>
  <xdr:twoCellAnchor editAs="oneCell">
    <xdr:from>
      <xdr:col>2</xdr:col>
      <xdr:colOff>50800</xdr:colOff>
      <xdr:row>24</xdr:row>
      <xdr:rowOff>177800</xdr:rowOff>
    </xdr:from>
    <xdr:to>
      <xdr:col>6</xdr:col>
      <xdr:colOff>760875</xdr:colOff>
      <xdr:row>41</xdr:row>
      <xdr:rowOff>192325</xdr:rowOff>
    </xdr:to>
    <xdr:pic>
      <xdr:nvPicPr>
        <xdr:cNvPr id="30" name="Imagen 2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52600" y="5689600"/>
          <a:ext cx="4608975" cy="3468925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177255</xdr:colOff>
      <xdr:row>16</xdr:row>
      <xdr:rowOff>146728</xdr:rowOff>
    </xdr:from>
    <xdr:to>
      <xdr:col>21</xdr:col>
      <xdr:colOff>609600</xdr:colOff>
      <xdr:row>52</xdr:row>
      <xdr:rowOff>110217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102370</xdr:colOff>
      <xdr:row>51</xdr:row>
      <xdr:rowOff>152400</xdr:rowOff>
    </xdr:from>
    <xdr:to>
      <xdr:col>14</xdr:col>
      <xdr:colOff>609599</xdr:colOff>
      <xdr:row>53</xdr:row>
      <xdr:rowOff>1816</xdr:rowOff>
    </xdr:to>
    <xdr:sp macro="" textlink="G19">
      <xdr:nvSpPr>
        <xdr:cNvPr id="15" name="CuadroTexto 14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/>
      </xdr:nvSpPr>
      <xdr:spPr>
        <a:xfrm flipH="1">
          <a:off x="13132570" y="10980420"/>
          <a:ext cx="507229" cy="24565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E7D385A-72A3-4D2C-94A1-30A75ADBFE75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6:15</a:t>
          </a:fld>
          <a:endParaRPr lang="es-CL" sz="1050"/>
        </a:p>
      </xdr:txBody>
    </xdr:sp>
    <xdr:clientData/>
  </xdr:twoCellAnchor>
  <xdr:twoCellAnchor>
    <xdr:from>
      <xdr:col>12</xdr:col>
      <xdr:colOff>590276</xdr:colOff>
      <xdr:row>51</xdr:row>
      <xdr:rowOff>139700</xdr:rowOff>
    </xdr:from>
    <xdr:to>
      <xdr:col>13</xdr:col>
      <xdr:colOff>292100</xdr:colOff>
      <xdr:row>53</xdr:row>
      <xdr:rowOff>0</xdr:rowOff>
    </xdr:to>
    <xdr:sp macro="" textlink="G18">
      <xdr:nvSpPr>
        <xdr:cNvPr id="16" name="CuadroTexto 15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/>
      </xdr:nvSpPr>
      <xdr:spPr>
        <a:xfrm flipH="1">
          <a:off x="11913596" y="10967720"/>
          <a:ext cx="555264" cy="2565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6325B6A7-A311-4833-BC91-A814A1F8764C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6:30</a:t>
          </a:fld>
          <a:endParaRPr lang="es-CL" sz="1050"/>
        </a:p>
      </xdr:txBody>
    </xdr:sp>
    <xdr:clientData/>
  </xdr:twoCellAnchor>
  <xdr:twoCellAnchor>
    <xdr:from>
      <xdr:col>15</xdr:col>
      <xdr:colOff>294639</xdr:colOff>
      <xdr:row>51</xdr:row>
      <xdr:rowOff>165100</xdr:rowOff>
    </xdr:from>
    <xdr:to>
      <xdr:col>15</xdr:col>
      <xdr:colOff>825500</xdr:colOff>
      <xdr:row>52</xdr:row>
      <xdr:rowOff>192316</xdr:rowOff>
    </xdr:to>
    <xdr:sp macro="" textlink="G20">
      <xdr:nvSpPr>
        <xdr:cNvPr id="17" name="CuadroTexto 16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/>
      </xdr:nvSpPr>
      <xdr:spPr>
        <a:xfrm flipH="1">
          <a:off x="14178279" y="10993120"/>
          <a:ext cx="530861" cy="22533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E5A5A6B-E513-4C35-9B95-0809204FBE31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6:05</a:t>
          </a:fld>
          <a:endParaRPr lang="es-CL" sz="1050"/>
        </a:p>
      </xdr:txBody>
    </xdr:sp>
    <xdr:clientData/>
  </xdr:twoCellAnchor>
  <xdr:twoCellAnchor>
    <xdr:from>
      <xdr:col>17</xdr:col>
      <xdr:colOff>46265</xdr:colOff>
      <xdr:row>41</xdr:row>
      <xdr:rowOff>68038</xdr:rowOff>
    </xdr:from>
    <xdr:to>
      <xdr:col>19</xdr:col>
      <xdr:colOff>203200</xdr:colOff>
      <xdr:row>42</xdr:row>
      <xdr:rowOff>122464</xdr:rowOff>
    </xdr:to>
    <xdr:sp macro="" textlink="">
      <xdr:nvSpPr>
        <xdr:cNvPr id="18" name="CuadroTexto 17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15636785" y="8914858"/>
          <a:ext cx="1863815" cy="25254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COLECTORES DE POLVO</a:t>
          </a:r>
        </a:p>
      </xdr:txBody>
    </xdr:sp>
    <xdr:clientData/>
  </xdr:twoCellAnchor>
  <xdr:twoCellAnchor>
    <xdr:from>
      <xdr:col>18</xdr:col>
      <xdr:colOff>344712</xdr:colOff>
      <xdr:row>44</xdr:row>
      <xdr:rowOff>7258</xdr:rowOff>
    </xdr:from>
    <xdr:to>
      <xdr:col>19</xdr:col>
      <xdr:colOff>51705</xdr:colOff>
      <xdr:row>45</xdr:row>
      <xdr:rowOff>102508</xdr:rowOff>
    </xdr:to>
    <xdr:sp macro="" textlink="G21">
      <xdr:nvSpPr>
        <xdr:cNvPr id="19" name="CuadroTexto 18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/>
      </xdr:nvSpPr>
      <xdr:spPr>
        <a:xfrm>
          <a:off x="16788672" y="9448438"/>
          <a:ext cx="560433" cy="29337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B387D8D-F093-4238-B980-BB02855E0B8B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6:14</a:t>
          </a:fld>
          <a:endParaRPr lang="es-CL" sz="1050"/>
        </a:p>
      </xdr:txBody>
    </xdr:sp>
    <xdr:clientData/>
  </xdr:twoCellAnchor>
  <xdr:twoCellAnchor>
    <xdr:from>
      <xdr:col>18</xdr:col>
      <xdr:colOff>344712</xdr:colOff>
      <xdr:row>46</xdr:row>
      <xdr:rowOff>109766</xdr:rowOff>
    </xdr:from>
    <xdr:to>
      <xdr:col>19</xdr:col>
      <xdr:colOff>51705</xdr:colOff>
      <xdr:row>48</xdr:row>
      <xdr:rowOff>909</xdr:rowOff>
    </xdr:to>
    <xdr:sp macro="" textlink="G22">
      <xdr:nvSpPr>
        <xdr:cNvPr id="20" name="CuadroTexto 19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 txBox="1"/>
      </xdr:nvSpPr>
      <xdr:spPr>
        <a:xfrm>
          <a:off x="16788672" y="9947186"/>
          <a:ext cx="560433" cy="2873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7004C28-1588-4759-9F86-D5305DD3B3F9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6:00</a:t>
          </a:fld>
          <a:endParaRPr lang="es-CL" sz="1050"/>
        </a:p>
      </xdr:txBody>
    </xdr:sp>
    <xdr:clientData/>
  </xdr:twoCellAnchor>
  <xdr:twoCellAnchor>
    <xdr:from>
      <xdr:col>18</xdr:col>
      <xdr:colOff>331105</xdr:colOff>
      <xdr:row>49</xdr:row>
      <xdr:rowOff>24494</xdr:rowOff>
    </xdr:from>
    <xdr:to>
      <xdr:col>19</xdr:col>
      <xdr:colOff>38098</xdr:colOff>
      <xdr:row>50</xdr:row>
      <xdr:rowOff>119744</xdr:rowOff>
    </xdr:to>
    <xdr:sp macro="" textlink="G23">
      <xdr:nvSpPr>
        <xdr:cNvPr id="21" name="CuadroTexto 20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/>
      </xdr:nvSpPr>
      <xdr:spPr>
        <a:xfrm>
          <a:off x="16775065" y="10456274"/>
          <a:ext cx="560433" cy="29337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C3C6CCF-9DAD-4511-9A80-66EC5E2168A7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104%</a:t>
          </a:fld>
          <a:endParaRPr lang="es-CL" sz="1050"/>
        </a:p>
      </xdr:txBody>
    </xdr:sp>
    <xdr:clientData/>
  </xdr:twoCellAnchor>
  <xdr:twoCellAnchor>
    <xdr:from>
      <xdr:col>17</xdr:col>
      <xdr:colOff>204106</xdr:colOff>
      <xdr:row>44</xdr:row>
      <xdr:rowOff>16330</xdr:rowOff>
    </xdr:from>
    <xdr:to>
      <xdr:col>18</xdr:col>
      <xdr:colOff>257628</xdr:colOff>
      <xdr:row>45</xdr:row>
      <xdr:rowOff>122465</xdr:rowOff>
    </xdr:to>
    <xdr:sp macro="" textlink="">
      <xdr:nvSpPr>
        <xdr:cNvPr id="22" name="CuadroTexto 21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 txBox="1"/>
      </xdr:nvSpPr>
      <xdr:spPr>
        <a:xfrm>
          <a:off x="15794626" y="9457510"/>
          <a:ext cx="906962" cy="30425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 baseline="0"/>
            <a:t>Disponible</a:t>
          </a:r>
        </a:p>
        <a:p>
          <a:endParaRPr lang="es-CL" sz="1100"/>
        </a:p>
      </xdr:txBody>
    </xdr:sp>
    <xdr:clientData/>
  </xdr:twoCellAnchor>
  <xdr:twoCellAnchor>
    <xdr:from>
      <xdr:col>17</xdr:col>
      <xdr:colOff>203562</xdr:colOff>
      <xdr:row>46</xdr:row>
      <xdr:rowOff>46265</xdr:rowOff>
    </xdr:from>
    <xdr:to>
      <xdr:col>18</xdr:col>
      <xdr:colOff>287564</xdr:colOff>
      <xdr:row>47</xdr:row>
      <xdr:rowOff>152401</xdr:rowOff>
    </xdr:to>
    <xdr:sp macro="" textlink="">
      <xdr:nvSpPr>
        <xdr:cNvPr id="23" name="CuadroTexto 22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 txBox="1"/>
      </xdr:nvSpPr>
      <xdr:spPr>
        <a:xfrm>
          <a:off x="15794082" y="9883685"/>
          <a:ext cx="937442" cy="30425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Aspiración</a:t>
          </a:r>
        </a:p>
        <a:p>
          <a:endParaRPr lang="es-CL" sz="1100"/>
        </a:p>
        <a:p>
          <a:endParaRPr lang="es-CL" sz="1100"/>
        </a:p>
      </xdr:txBody>
    </xdr:sp>
    <xdr:clientData/>
  </xdr:twoCellAnchor>
  <xdr:twoCellAnchor>
    <xdr:from>
      <xdr:col>17</xdr:col>
      <xdr:colOff>209549</xdr:colOff>
      <xdr:row>48</xdr:row>
      <xdr:rowOff>198668</xdr:rowOff>
    </xdr:from>
    <xdr:to>
      <xdr:col>18</xdr:col>
      <xdr:colOff>263071</xdr:colOff>
      <xdr:row>50</xdr:row>
      <xdr:rowOff>100695</xdr:rowOff>
    </xdr:to>
    <xdr:sp macro="" textlink="">
      <xdr:nvSpPr>
        <xdr:cNvPr id="24" name="CuadroTexto 23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 txBox="1"/>
      </xdr:nvSpPr>
      <xdr:spPr>
        <a:xfrm>
          <a:off x="15800069" y="10432328"/>
          <a:ext cx="906962" cy="29826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Cumplimiento</a:t>
          </a:r>
        </a:p>
      </xdr:txBody>
    </xdr:sp>
    <xdr:clientData/>
  </xdr:twoCellAnchor>
  <xdr:twoCellAnchor>
    <xdr:from>
      <xdr:col>10</xdr:col>
      <xdr:colOff>182517</xdr:colOff>
      <xdr:row>51</xdr:row>
      <xdr:rowOff>127000</xdr:rowOff>
    </xdr:from>
    <xdr:to>
      <xdr:col>10</xdr:col>
      <xdr:colOff>685800</xdr:colOff>
      <xdr:row>53</xdr:row>
      <xdr:rowOff>24495</xdr:rowOff>
    </xdr:to>
    <xdr:sp macro="" textlink="G16">
      <xdr:nvSpPr>
        <xdr:cNvPr id="25" name="CuadroTexto 24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 txBox="1"/>
      </xdr:nvSpPr>
      <xdr:spPr>
        <a:xfrm>
          <a:off x="9798957" y="10955020"/>
          <a:ext cx="503283" cy="2937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46AEE9B-74D4-4247-8BC3-3F2230E8AA5E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6:00</a:t>
          </a:fld>
          <a:endParaRPr lang="es-CL" sz="1050"/>
        </a:p>
      </xdr:txBody>
    </xdr:sp>
    <xdr:clientData/>
  </xdr:twoCellAnchor>
  <xdr:twoCellAnchor>
    <xdr:from>
      <xdr:col>11</xdr:col>
      <xdr:colOff>309289</xdr:colOff>
      <xdr:row>51</xdr:row>
      <xdr:rowOff>152400</xdr:rowOff>
    </xdr:from>
    <xdr:to>
      <xdr:col>11</xdr:col>
      <xdr:colOff>774700</xdr:colOff>
      <xdr:row>53</xdr:row>
      <xdr:rowOff>1816</xdr:rowOff>
    </xdr:to>
    <xdr:sp macro="" textlink="G17">
      <xdr:nvSpPr>
        <xdr:cNvPr id="26" name="CuadroTexto 25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 txBox="1"/>
      </xdr:nvSpPr>
      <xdr:spPr>
        <a:xfrm>
          <a:off x="10779169" y="10980420"/>
          <a:ext cx="465411" cy="24565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B92D3AF-B45E-461E-8C29-22B7DE936BDD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6:21</a:t>
          </a:fld>
          <a:endParaRPr lang="es-CL" sz="1050"/>
        </a:p>
      </xdr:txBody>
    </xdr:sp>
    <xdr:clientData/>
  </xdr:twoCellAnchor>
  <xdr:twoCellAnchor>
    <xdr:from>
      <xdr:col>10</xdr:col>
      <xdr:colOff>0</xdr:colOff>
      <xdr:row>13</xdr:row>
      <xdr:rowOff>0</xdr:rowOff>
    </xdr:from>
    <xdr:to>
      <xdr:col>10</xdr:col>
      <xdr:colOff>5275035</xdr:colOff>
      <xdr:row>16</xdr:row>
      <xdr:rowOff>143334</xdr:rowOff>
    </xdr:to>
    <xdr:sp macro="" textlink="">
      <xdr:nvSpPr>
        <xdr:cNvPr id="27" name="CuadroTexto 17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 txBox="1"/>
      </xdr:nvSpPr>
      <xdr:spPr>
        <a:xfrm>
          <a:off x="9616440" y="3177540"/>
          <a:ext cx="855435" cy="760554"/>
        </a:xfrm>
        <a:prstGeom prst="rect">
          <a:avLst/>
        </a:prstGeom>
        <a:solidFill>
          <a:schemeClr val="bg2">
            <a:lumMod val="95000"/>
          </a:schemeClr>
        </a:solidFill>
        <a:ln w="19050">
          <a:solidFill>
            <a:srgbClr val="FF0000"/>
          </a:solidFill>
        </a:ln>
      </xdr:spPr>
      <xdr:txBody>
        <a:bodyPr wrap="square" rtlCol="0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265113" indent="-265113">
            <a:tabLst>
              <a:tab pos="265113" algn="l"/>
            </a:tabLst>
          </a:pPr>
          <a:r>
            <a:rPr lang="es-CL" sz="900"/>
            <a:t>LU: </a:t>
          </a:r>
        </a:p>
        <a:p>
          <a:pPr marL="265113" indent="-265113">
            <a:tabLst>
              <a:tab pos="265113" algn="l"/>
            </a:tabLst>
          </a:pPr>
          <a:r>
            <a:rPr lang="es-CL" sz="900"/>
            <a:t>MA: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MI:</a:t>
          </a:r>
          <a:r>
            <a:rPr lang="es-ES" sz="900" baseline="0"/>
            <a:t>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JU: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VI:  .</a:t>
          </a:r>
          <a:endParaRPr lang="es-CL" sz="900"/>
        </a:p>
      </xdr:txBody>
    </xdr:sp>
    <xdr:clientData/>
  </xdr:twoCellAnchor>
  <xdr:twoCellAnchor editAs="oneCell">
    <xdr:from>
      <xdr:col>2</xdr:col>
      <xdr:colOff>0</xdr:colOff>
      <xdr:row>24</xdr:row>
      <xdr:rowOff>190500</xdr:rowOff>
    </xdr:from>
    <xdr:to>
      <xdr:col>6</xdr:col>
      <xdr:colOff>811675</xdr:colOff>
      <xdr:row>42</xdr:row>
      <xdr:rowOff>1825</xdr:rowOff>
    </xdr:to>
    <xdr:pic>
      <xdr:nvPicPr>
        <xdr:cNvPr id="30" name="Imagen 29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01800" y="5702300"/>
          <a:ext cx="4608975" cy="3468925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824955</xdr:colOff>
      <xdr:row>16</xdr:row>
      <xdr:rowOff>70528</xdr:rowOff>
    </xdr:from>
    <xdr:to>
      <xdr:col>21</xdr:col>
      <xdr:colOff>520700</xdr:colOff>
      <xdr:row>52</xdr:row>
      <xdr:rowOff>34017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102370</xdr:colOff>
      <xdr:row>51</xdr:row>
      <xdr:rowOff>152400</xdr:rowOff>
    </xdr:from>
    <xdr:to>
      <xdr:col>14</xdr:col>
      <xdr:colOff>609599</xdr:colOff>
      <xdr:row>53</xdr:row>
      <xdr:rowOff>1816</xdr:rowOff>
    </xdr:to>
    <xdr:sp macro="" textlink="G19">
      <xdr:nvSpPr>
        <xdr:cNvPr id="15" name="CuadroTexto 14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/>
      </xdr:nvSpPr>
      <xdr:spPr>
        <a:xfrm flipH="1">
          <a:off x="12751570" y="10980420"/>
          <a:ext cx="507229" cy="24565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E7D385A-72A3-4D2C-94A1-30A75ADBFE75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5:57</a:t>
          </a:fld>
          <a:endParaRPr lang="es-CL" sz="1050"/>
        </a:p>
      </xdr:txBody>
    </xdr:sp>
    <xdr:clientData/>
  </xdr:twoCellAnchor>
  <xdr:twoCellAnchor>
    <xdr:from>
      <xdr:col>12</xdr:col>
      <xdr:colOff>590276</xdr:colOff>
      <xdr:row>51</xdr:row>
      <xdr:rowOff>139700</xdr:rowOff>
    </xdr:from>
    <xdr:to>
      <xdr:col>13</xdr:col>
      <xdr:colOff>292100</xdr:colOff>
      <xdr:row>53</xdr:row>
      <xdr:rowOff>0</xdr:rowOff>
    </xdr:to>
    <xdr:sp macro="" textlink="G18">
      <xdr:nvSpPr>
        <xdr:cNvPr id="16" name="CuadroTexto 15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/>
      </xdr:nvSpPr>
      <xdr:spPr>
        <a:xfrm flipH="1">
          <a:off x="11532596" y="10967720"/>
          <a:ext cx="555264" cy="2565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6325B6A7-A311-4833-BC91-A814A1F8764C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5:57</a:t>
          </a:fld>
          <a:endParaRPr lang="es-CL" sz="1050"/>
        </a:p>
      </xdr:txBody>
    </xdr:sp>
    <xdr:clientData/>
  </xdr:twoCellAnchor>
  <xdr:twoCellAnchor>
    <xdr:from>
      <xdr:col>15</xdr:col>
      <xdr:colOff>294639</xdr:colOff>
      <xdr:row>51</xdr:row>
      <xdr:rowOff>165100</xdr:rowOff>
    </xdr:from>
    <xdr:to>
      <xdr:col>15</xdr:col>
      <xdr:colOff>825500</xdr:colOff>
      <xdr:row>52</xdr:row>
      <xdr:rowOff>192316</xdr:rowOff>
    </xdr:to>
    <xdr:sp macro="" textlink="G20">
      <xdr:nvSpPr>
        <xdr:cNvPr id="17" name="CuadroTexto 16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/>
      </xdr:nvSpPr>
      <xdr:spPr>
        <a:xfrm flipH="1">
          <a:off x="13797279" y="10993120"/>
          <a:ext cx="530861" cy="22533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E5A5A6B-E513-4C35-9B95-0809204FBE31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5:48</a:t>
          </a:fld>
          <a:endParaRPr lang="es-CL" sz="1050"/>
        </a:p>
      </xdr:txBody>
    </xdr:sp>
    <xdr:clientData/>
  </xdr:twoCellAnchor>
  <xdr:twoCellAnchor>
    <xdr:from>
      <xdr:col>17</xdr:col>
      <xdr:colOff>46265</xdr:colOff>
      <xdr:row>41</xdr:row>
      <xdr:rowOff>68038</xdr:rowOff>
    </xdr:from>
    <xdr:to>
      <xdr:col>19</xdr:col>
      <xdr:colOff>203200</xdr:colOff>
      <xdr:row>42</xdr:row>
      <xdr:rowOff>122464</xdr:rowOff>
    </xdr:to>
    <xdr:sp macro="" textlink="">
      <xdr:nvSpPr>
        <xdr:cNvPr id="18" name="CuadroTexto 17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15255785" y="8914858"/>
          <a:ext cx="1863815" cy="25254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MISCELANEO TTE 7 </a:t>
          </a:r>
        </a:p>
      </xdr:txBody>
    </xdr:sp>
    <xdr:clientData/>
  </xdr:twoCellAnchor>
  <xdr:twoCellAnchor>
    <xdr:from>
      <xdr:col>18</xdr:col>
      <xdr:colOff>344712</xdr:colOff>
      <xdr:row>44</xdr:row>
      <xdr:rowOff>7258</xdr:rowOff>
    </xdr:from>
    <xdr:to>
      <xdr:col>19</xdr:col>
      <xdr:colOff>51705</xdr:colOff>
      <xdr:row>45</xdr:row>
      <xdr:rowOff>102508</xdr:rowOff>
    </xdr:to>
    <xdr:sp macro="" textlink="G21">
      <xdr:nvSpPr>
        <xdr:cNvPr id="19" name="CuadroTexto 18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/>
      </xdr:nvSpPr>
      <xdr:spPr>
        <a:xfrm>
          <a:off x="16407672" y="9448438"/>
          <a:ext cx="560433" cy="29337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B387D8D-F093-4238-B980-BB02855E0B8B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5:56</a:t>
          </a:fld>
          <a:endParaRPr lang="es-CL" sz="1050"/>
        </a:p>
      </xdr:txBody>
    </xdr:sp>
    <xdr:clientData/>
  </xdr:twoCellAnchor>
  <xdr:twoCellAnchor>
    <xdr:from>
      <xdr:col>18</xdr:col>
      <xdr:colOff>344712</xdr:colOff>
      <xdr:row>46</xdr:row>
      <xdr:rowOff>109766</xdr:rowOff>
    </xdr:from>
    <xdr:to>
      <xdr:col>19</xdr:col>
      <xdr:colOff>51705</xdr:colOff>
      <xdr:row>48</xdr:row>
      <xdr:rowOff>909</xdr:rowOff>
    </xdr:to>
    <xdr:sp macro="" textlink="G22">
      <xdr:nvSpPr>
        <xdr:cNvPr id="20" name="CuadroTexto 19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 txBox="1"/>
      </xdr:nvSpPr>
      <xdr:spPr>
        <a:xfrm>
          <a:off x="16407672" y="9947186"/>
          <a:ext cx="560433" cy="2873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7004C28-1588-4759-9F86-D5305DD3B3F9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6:00</a:t>
          </a:fld>
          <a:endParaRPr lang="es-CL" sz="1050"/>
        </a:p>
      </xdr:txBody>
    </xdr:sp>
    <xdr:clientData/>
  </xdr:twoCellAnchor>
  <xdr:twoCellAnchor>
    <xdr:from>
      <xdr:col>18</xdr:col>
      <xdr:colOff>331105</xdr:colOff>
      <xdr:row>49</xdr:row>
      <xdr:rowOff>24494</xdr:rowOff>
    </xdr:from>
    <xdr:to>
      <xdr:col>19</xdr:col>
      <xdr:colOff>38098</xdr:colOff>
      <xdr:row>50</xdr:row>
      <xdr:rowOff>119744</xdr:rowOff>
    </xdr:to>
    <xdr:sp macro="" textlink="G23">
      <xdr:nvSpPr>
        <xdr:cNvPr id="21" name="CuadroTexto 20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/>
      </xdr:nvSpPr>
      <xdr:spPr>
        <a:xfrm>
          <a:off x="16394065" y="10456274"/>
          <a:ext cx="560433" cy="29337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C3C6CCF-9DAD-4511-9A80-66EC5E2168A7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99%</a:t>
          </a:fld>
          <a:endParaRPr lang="es-CL" sz="1050"/>
        </a:p>
      </xdr:txBody>
    </xdr:sp>
    <xdr:clientData/>
  </xdr:twoCellAnchor>
  <xdr:twoCellAnchor>
    <xdr:from>
      <xdr:col>17</xdr:col>
      <xdr:colOff>204106</xdr:colOff>
      <xdr:row>44</xdr:row>
      <xdr:rowOff>16330</xdr:rowOff>
    </xdr:from>
    <xdr:to>
      <xdr:col>18</xdr:col>
      <xdr:colOff>257628</xdr:colOff>
      <xdr:row>45</xdr:row>
      <xdr:rowOff>122465</xdr:rowOff>
    </xdr:to>
    <xdr:sp macro="" textlink="">
      <xdr:nvSpPr>
        <xdr:cNvPr id="22" name="CuadroTexto 21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 txBox="1"/>
      </xdr:nvSpPr>
      <xdr:spPr>
        <a:xfrm>
          <a:off x="15413626" y="9457510"/>
          <a:ext cx="906962" cy="30425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 baseline="0"/>
            <a:t>Disponible</a:t>
          </a:r>
        </a:p>
        <a:p>
          <a:endParaRPr lang="es-CL" sz="1100"/>
        </a:p>
      </xdr:txBody>
    </xdr:sp>
    <xdr:clientData/>
  </xdr:twoCellAnchor>
  <xdr:twoCellAnchor>
    <xdr:from>
      <xdr:col>17</xdr:col>
      <xdr:colOff>203562</xdr:colOff>
      <xdr:row>46</xdr:row>
      <xdr:rowOff>46265</xdr:rowOff>
    </xdr:from>
    <xdr:to>
      <xdr:col>18</xdr:col>
      <xdr:colOff>287564</xdr:colOff>
      <xdr:row>47</xdr:row>
      <xdr:rowOff>152401</xdr:rowOff>
    </xdr:to>
    <xdr:sp macro="" textlink="">
      <xdr:nvSpPr>
        <xdr:cNvPr id="23" name="CuadroTexto 22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 txBox="1"/>
      </xdr:nvSpPr>
      <xdr:spPr>
        <a:xfrm>
          <a:off x="15413082" y="9883685"/>
          <a:ext cx="937442" cy="30425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Aspiración</a:t>
          </a:r>
        </a:p>
        <a:p>
          <a:endParaRPr lang="es-CL" sz="1100"/>
        </a:p>
        <a:p>
          <a:endParaRPr lang="es-CL" sz="1100"/>
        </a:p>
      </xdr:txBody>
    </xdr:sp>
    <xdr:clientData/>
  </xdr:twoCellAnchor>
  <xdr:twoCellAnchor>
    <xdr:from>
      <xdr:col>17</xdr:col>
      <xdr:colOff>209549</xdr:colOff>
      <xdr:row>48</xdr:row>
      <xdr:rowOff>198668</xdr:rowOff>
    </xdr:from>
    <xdr:to>
      <xdr:col>18</xdr:col>
      <xdr:colOff>263071</xdr:colOff>
      <xdr:row>50</xdr:row>
      <xdr:rowOff>100695</xdr:rowOff>
    </xdr:to>
    <xdr:sp macro="" textlink="">
      <xdr:nvSpPr>
        <xdr:cNvPr id="24" name="CuadroTexto 23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 txBox="1"/>
      </xdr:nvSpPr>
      <xdr:spPr>
        <a:xfrm>
          <a:off x="15419069" y="10432328"/>
          <a:ext cx="906962" cy="29826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Cumplimiento</a:t>
          </a:r>
        </a:p>
      </xdr:txBody>
    </xdr:sp>
    <xdr:clientData/>
  </xdr:twoCellAnchor>
  <xdr:twoCellAnchor>
    <xdr:from>
      <xdr:col>10</xdr:col>
      <xdr:colOff>182517</xdr:colOff>
      <xdr:row>51</xdr:row>
      <xdr:rowOff>127000</xdr:rowOff>
    </xdr:from>
    <xdr:to>
      <xdr:col>10</xdr:col>
      <xdr:colOff>685800</xdr:colOff>
      <xdr:row>53</xdr:row>
      <xdr:rowOff>24495</xdr:rowOff>
    </xdr:to>
    <xdr:sp macro="" textlink="G16">
      <xdr:nvSpPr>
        <xdr:cNvPr id="25" name="CuadroTexto 24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 txBox="1"/>
      </xdr:nvSpPr>
      <xdr:spPr>
        <a:xfrm>
          <a:off x="9417957" y="10955020"/>
          <a:ext cx="503283" cy="2937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46AEE9B-74D4-4247-8BC3-3F2230E8AA5E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5:55</a:t>
          </a:fld>
          <a:endParaRPr lang="es-CL" sz="1050"/>
        </a:p>
      </xdr:txBody>
    </xdr:sp>
    <xdr:clientData/>
  </xdr:twoCellAnchor>
  <xdr:twoCellAnchor>
    <xdr:from>
      <xdr:col>11</xdr:col>
      <xdr:colOff>309289</xdr:colOff>
      <xdr:row>51</xdr:row>
      <xdr:rowOff>152400</xdr:rowOff>
    </xdr:from>
    <xdr:to>
      <xdr:col>11</xdr:col>
      <xdr:colOff>774700</xdr:colOff>
      <xdr:row>53</xdr:row>
      <xdr:rowOff>1816</xdr:rowOff>
    </xdr:to>
    <xdr:sp macro="" textlink="G17">
      <xdr:nvSpPr>
        <xdr:cNvPr id="26" name="CuadroTexto 25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 txBox="1"/>
      </xdr:nvSpPr>
      <xdr:spPr>
        <a:xfrm>
          <a:off x="10398169" y="10980420"/>
          <a:ext cx="465411" cy="24565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B92D3AF-B45E-461E-8C29-22B7DE936BDD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6:07</a:t>
          </a:fld>
          <a:endParaRPr lang="es-CL" sz="1050"/>
        </a:p>
      </xdr:txBody>
    </xdr:sp>
    <xdr:clientData/>
  </xdr:twoCellAnchor>
  <xdr:twoCellAnchor>
    <xdr:from>
      <xdr:col>10</xdr:col>
      <xdr:colOff>0</xdr:colOff>
      <xdr:row>13</xdr:row>
      <xdr:rowOff>0</xdr:rowOff>
    </xdr:from>
    <xdr:to>
      <xdr:col>10</xdr:col>
      <xdr:colOff>5275035</xdr:colOff>
      <xdr:row>16</xdr:row>
      <xdr:rowOff>143334</xdr:rowOff>
    </xdr:to>
    <xdr:sp macro="" textlink="">
      <xdr:nvSpPr>
        <xdr:cNvPr id="27" name="CuadroTexto 17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 txBox="1"/>
      </xdr:nvSpPr>
      <xdr:spPr>
        <a:xfrm>
          <a:off x="9235440" y="3177540"/>
          <a:ext cx="855435" cy="760554"/>
        </a:xfrm>
        <a:prstGeom prst="rect">
          <a:avLst/>
        </a:prstGeom>
        <a:solidFill>
          <a:schemeClr val="bg2">
            <a:lumMod val="95000"/>
          </a:schemeClr>
        </a:solidFill>
        <a:ln w="19050">
          <a:solidFill>
            <a:srgbClr val="FF0000"/>
          </a:solidFill>
        </a:ln>
      </xdr:spPr>
      <xdr:txBody>
        <a:bodyPr wrap="square" rtlCol="0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265113" indent="-265113">
            <a:tabLst>
              <a:tab pos="265113" algn="l"/>
            </a:tabLst>
          </a:pPr>
          <a:r>
            <a:rPr lang="es-CL" sz="900"/>
            <a:t>LU: </a:t>
          </a:r>
        </a:p>
        <a:p>
          <a:pPr marL="265113" indent="-265113">
            <a:tabLst>
              <a:tab pos="265113" algn="l"/>
            </a:tabLst>
          </a:pPr>
          <a:r>
            <a:rPr lang="es-CL" sz="900"/>
            <a:t>MA: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MI:</a:t>
          </a:r>
          <a:r>
            <a:rPr lang="es-ES" sz="900" baseline="0"/>
            <a:t>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JU: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VI:  .</a:t>
          </a:r>
          <a:endParaRPr lang="es-CL" sz="900"/>
        </a:p>
      </xdr:txBody>
    </xdr:sp>
    <xdr:clientData/>
  </xdr:twoCellAnchor>
  <xdr:twoCellAnchor editAs="oneCell">
    <xdr:from>
      <xdr:col>3</xdr:col>
      <xdr:colOff>139701</xdr:colOff>
      <xdr:row>26</xdr:row>
      <xdr:rowOff>30327</xdr:rowOff>
    </xdr:from>
    <xdr:to>
      <xdr:col>7</xdr:col>
      <xdr:colOff>203201</xdr:colOff>
      <xdr:row>31</xdr:row>
      <xdr:rowOff>76200</xdr:rowOff>
    </xdr:to>
    <xdr:pic>
      <xdr:nvPicPr>
        <xdr:cNvPr id="28" name="Imagen 2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00021" y="5905347"/>
          <a:ext cx="4391660" cy="1036473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24</xdr:row>
      <xdr:rowOff>0</xdr:rowOff>
    </xdr:from>
    <xdr:to>
      <xdr:col>6</xdr:col>
      <xdr:colOff>710075</xdr:colOff>
      <xdr:row>41</xdr:row>
      <xdr:rowOff>14525</xdr:rowOff>
    </xdr:to>
    <xdr:pic>
      <xdr:nvPicPr>
        <xdr:cNvPr id="32" name="Imagen 3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01800" y="5511800"/>
          <a:ext cx="4608975" cy="3468925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1244055</xdr:colOff>
      <xdr:row>16</xdr:row>
      <xdr:rowOff>134028</xdr:rowOff>
    </xdr:from>
    <xdr:to>
      <xdr:col>21</xdr:col>
      <xdr:colOff>736600</xdr:colOff>
      <xdr:row>52</xdr:row>
      <xdr:rowOff>97517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483370</xdr:colOff>
      <xdr:row>51</xdr:row>
      <xdr:rowOff>139700</xdr:rowOff>
    </xdr:from>
    <xdr:to>
      <xdr:col>14</xdr:col>
      <xdr:colOff>139699</xdr:colOff>
      <xdr:row>52</xdr:row>
      <xdr:rowOff>192316</xdr:rowOff>
    </xdr:to>
    <xdr:sp macro="" textlink="G19">
      <xdr:nvSpPr>
        <xdr:cNvPr id="15" name="CuadroTexto 14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/>
      </xdr:nvSpPr>
      <xdr:spPr>
        <a:xfrm flipH="1">
          <a:off x="13373870" y="11137900"/>
          <a:ext cx="507229" cy="2558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E7D385A-72A3-4D2C-94A1-30A75ADBFE75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6:30</a:t>
          </a:fld>
          <a:endParaRPr lang="es-CL" sz="1050"/>
        </a:p>
      </xdr:txBody>
    </xdr:sp>
    <xdr:clientData/>
  </xdr:twoCellAnchor>
  <xdr:twoCellAnchor>
    <xdr:from>
      <xdr:col>12</xdr:col>
      <xdr:colOff>6076</xdr:colOff>
      <xdr:row>51</xdr:row>
      <xdr:rowOff>127000</xdr:rowOff>
    </xdr:from>
    <xdr:to>
      <xdr:col>12</xdr:col>
      <xdr:colOff>558800</xdr:colOff>
      <xdr:row>52</xdr:row>
      <xdr:rowOff>190500</xdr:rowOff>
    </xdr:to>
    <xdr:sp macro="" textlink="G18">
      <xdr:nvSpPr>
        <xdr:cNvPr id="16" name="CuadroTexto 15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/>
      </xdr:nvSpPr>
      <xdr:spPr>
        <a:xfrm flipH="1">
          <a:off x="12045676" y="11125200"/>
          <a:ext cx="552724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6325B6A7-A311-4833-BC91-A814A1F8764C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6:30</a:t>
          </a:fld>
          <a:endParaRPr lang="es-CL" sz="1050"/>
        </a:p>
      </xdr:txBody>
    </xdr:sp>
    <xdr:clientData/>
  </xdr:twoCellAnchor>
  <xdr:twoCellAnchor>
    <xdr:from>
      <xdr:col>15</xdr:col>
      <xdr:colOff>294639</xdr:colOff>
      <xdr:row>51</xdr:row>
      <xdr:rowOff>165100</xdr:rowOff>
    </xdr:from>
    <xdr:to>
      <xdr:col>15</xdr:col>
      <xdr:colOff>825500</xdr:colOff>
      <xdr:row>52</xdr:row>
      <xdr:rowOff>192316</xdr:rowOff>
    </xdr:to>
    <xdr:sp macro="" textlink="G20">
      <xdr:nvSpPr>
        <xdr:cNvPr id="17" name="CuadroTexto 16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/>
      </xdr:nvSpPr>
      <xdr:spPr>
        <a:xfrm flipH="1">
          <a:off x="13934439" y="10993120"/>
          <a:ext cx="530861" cy="22533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E5A5A6B-E513-4C35-9B95-0809204FBE31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6:38</a:t>
          </a:fld>
          <a:endParaRPr lang="es-CL" sz="1050"/>
        </a:p>
      </xdr:txBody>
    </xdr:sp>
    <xdr:clientData/>
  </xdr:twoCellAnchor>
  <xdr:twoCellAnchor>
    <xdr:from>
      <xdr:col>17</xdr:col>
      <xdr:colOff>46265</xdr:colOff>
      <xdr:row>41</xdr:row>
      <xdr:rowOff>68038</xdr:rowOff>
    </xdr:from>
    <xdr:to>
      <xdr:col>19</xdr:col>
      <xdr:colOff>203200</xdr:colOff>
      <xdr:row>42</xdr:row>
      <xdr:rowOff>122464</xdr:rowOff>
    </xdr:to>
    <xdr:sp macro="" textlink="">
      <xdr:nvSpPr>
        <xdr:cNvPr id="18" name="CuadroTexto 17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15392945" y="8914858"/>
          <a:ext cx="1863815" cy="25254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CHANCADO COLON</a:t>
          </a:r>
        </a:p>
      </xdr:txBody>
    </xdr:sp>
    <xdr:clientData/>
  </xdr:twoCellAnchor>
  <xdr:twoCellAnchor>
    <xdr:from>
      <xdr:col>18</xdr:col>
      <xdr:colOff>344712</xdr:colOff>
      <xdr:row>44</xdr:row>
      <xdr:rowOff>7258</xdr:rowOff>
    </xdr:from>
    <xdr:to>
      <xdr:col>19</xdr:col>
      <xdr:colOff>51705</xdr:colOff>
      <xdr:row>45</xdr:row>
      <xdr:rowOff>102508</xdr:rowOff>
    </xdr:to>
    <xdr:sp macro="" textlink="G21">
      <xdr:nvSpPr>
        <xdr:cNvPr id="19" name="CuadroTexto 18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/>
      </xdr:nvSpPr>
      <xdr:spPr>
        <a:xfrm>
          <a:off x="16544832" y="9448438"/>
          <a:ext cx="560433" cy="29337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B387D8D-F093-4238-B980-BB02855E0B8B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6:29</a:t>
          </a:fld>
          <a:endParaRPr lang="es-CL" sz="1050"/>
        </a:p>
      </xdr:txBody>
    </xdr:sp>
    <xdr:clientData/>
  </xdr:twoCellAnchor>
  <xdr:twoCellAnchor>
    <xdr:from>
      <xdr:col>18</xdr:col>
      <xdr:colOff>344712</xdr:colOff>
      <xdr:row>46</xdr:row>
      <xdr:rowOff>109766</xdr:rowOff>
    </xdr:from>
    <xdr:to>
      <xdr:col>19</xdr:col>
      <xdr:colOff>51705</xdr:colOff>
      <xdr:row>48</xdr:row>
      <xdr:rowOff>909</xdr:rowOff>
    </xdr:to>
    <xdr:sp macro="" textlink="G22">
      <xdr:nvSpPr>
        <xdr:cNvPr id="20" name="CuadroTexto 19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 txBox="1"/>
      </xdr:nvSpPr>
      <xdr:spPr>
        <a:xfrm>
          <a:off x="16544832" y="9947186"/>
          <a:ext cx="560433" cy="2873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7004C28-1588-4759-9F86-D5305DD3B3F9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6:00</a:t>
          </a:fld>
          <a:endParaRPr lang="es-CL" sz="1050"/>
        </a:p>
      </xdr:txBody>
    </xdr:sp>
    <xdr:clientData/>
  </xdr:twoCellAnchor>
  <xdr:twoCellAnchor>
    <xdr:from>
      <xdr:col>18</xdr:col>
      <xdr:colOff>331105</xdr:colOff>
      <xdr:row>49</xdr:row>
      <xdr:rowOff>24494</xdr:rowOff>
    </xdr:from>
    <xdr:to>
      <xdr:col>19</xdr:col>
      <xdr:colOff>38098</xdr:colOff>
      <xdr:row>50</xdr:row>
      <xdr:rowOff>119744</xdr:rowOff>
    </xdr:to>
    <xdr:sp macro="" textlink="G23">
      <xdr:nvSpPr>
        <xdr:cNvPr id="21" name="CuadroTexto 20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/>
      </xdr:nvSpPr>
      <xdr:spPr>
        <a:xfrm>
          <a:off x="16531225" y="10456274"/>
          <a:ext cx="560433" cy="29337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C3C6CCF-9DAD-4511-9A80-66EC5E2168A7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108%</a:t>
          </a:fld>
          <a:endParaRPr lang="es-CL" sz="1050"/>
        </a:p>
      </xdr:txBody>
    </xdr:sp>
    <xdr:clientData/>
  </xdr:twoCellAnchor>
  <xdr:twoCellAnchor>
    <xdr:from>
      <xdr:col>17</xdr:col>
      <xdr:colOff>204106</xdr:colOff>
      <xdr:row>44</xdr:row>
      <xdr:rowOff>16330</xdr:rowOff>
    </xdr:from>
    <xdr:to>
      <xdr:col>18</xdr:col>
      <xdr:colOff>257628</xdr:colOff>
      <xdr:row>45</xdr:row>
      <xdr:rowOff>122465</xdr:rowOff>
    </xdr:to>
    <xdr:sp macro="" textlink="">
      <xdr:nvSpPr>
        <xdr:cNvPr id="22" name="CuadroTexto 21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 txBox="1"/>
      </xdr:nvSpPr>
      <xdr:spPr>
        <a:xfrm>
          <a:off x="15550786" y="9457510"/>
          <a:ext cx="906962" cy="30425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 baseline="0"/>
            <a:t>Disponible</a:t>
          </a:r>
        </a:p>
        <a:p>
          <a:endParaRPr lang="es-CL" sz="1100"/>
        </a:p>
      </xdr:txBody>
    </xdr:sp>
    <xdr:clientData/>
  </xdr:twoCellAnchor>
  <xdr:twoCellAnchor>
    <xdr:from>
      <xdr:col>17</xdr:col>
      <xdr:colOff>203562</xdr:colOff>
      <xdr:row>46</xdr:row>
      <xdr:rowOff>46265</xdr:rowOff>
    </xdr:from>
    <xdr:to>
      <xdr:col>18</xdr:col>
      <xdr:colOff>287564</xdr:colOff>
      <xdr:row>47</xdr:row>
      <xdr:rowOff>152401</xdr:rowOff>
    </xdr:to>
    <xdr:sp macro="" textlink="">
      <xdr:nvSpPr>
        <xdr:cNvPr id="23" name="CuadroTexto 22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 txBox="1"/>
      </xdr:nvSpPr>
      <xdr:spPr>
        <a:xfrm>
          <a:off x="15550242" y="9883685"/>
          <a:ext cx="937442" cy="30425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Aspiración</a:t>
          </a:r>
        </a:p>
        <a:p>
          <a:endParaRPr lang="es-CL" sz="1100"/>
        </a:p>
        <a:p>
          <a:endParaRPr lang="es-CL" sz="1100"/>
        </a:p>
      </xdr:txBody>
    </xdr:sp>
    <xdr:clientData/>
  </xdr:twoCellAnchor>
  <xdr:twoCellAnchor>
    <xdr:from>
      <xdr:col>17</xdr:col>
      <xdr:colOff>209549</xdr:colOff>
      <xdr:row>48</xdr:row>
      <xdr:rowOff>198668</xdr:rowOff>
    </xdr:from>
    <xdr:to>
      <xdr:col>18</xdr:col>
      <xdr:colOff>263071</xdr:colOff>
      <xdr:row>50</xdr:row>
      <xdr:rowOff>100695</xdr:rowOff>
    </xdr:to>
    <xdr:sp macro="" textlink="">
      <xdr:nvSpPr>
        <xdr:cNvPr id="24" name="CuadroTexto 23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 txBox="1"/>
      </xdr:nvSpPr>
      <xdr:spPr>
        <a:xfrm>
          <a:off x="15556229" y="10432328"/>
          <a:ext cx="906962" cy="29826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Cumplimiento</a:t>
          </a:r>
        </a:p>
      </xdr:txBody>
    </xdr:sp>
    <xdr:clientData/>
  </xdr:twoCellAnchor>
  <xdr:twoCellAnchor>
    <xdr:from>
      <xdr:col>10</xdr:col>
      <xdr:colOff>182517</xdr:colOff>
      <xdr:row>51</xdr:row>
      <xdr:rowOff>127000</xdr:rowOff>
    </xdr:from>
    <xdr:to>
      <xdr:col>10</xdr:col>
      <xdr:colOff>685800</xdr:colOff>
      <xdr:row>53</xdr:row>
      <xdr:rowOff>24495</xdr:rowOff>
    </xdr:to>
    <xdr:sp macro="" textlink="G16">
      <xdr:nvSpPr>
        <xdr:cNvPr id="25" name="CuadroTexto 24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 txBox="1"/>
      </xdr:nvSpPr>
      <xdr:spPr>
        <a:xfrm>
          <a:off x="9555117" y="10955020"/>
          <a:ext cx="503283" cy="2937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46AEE9B-74D4-4247-8BC3-3F2230E8AA5E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6:31</a:t>
          </a:fld>
          <a:endParaRPr lang="es-CL" sz="1050"/>
        </a:p>
      </xdr:txBody>
    </xdr:sp>
    <xdr:clientData/>
  </xdr:twoCellAnchor>
  <xdr:twoCellAnchor>
    <xdr:from>
      <xdr:col>10</xdr:col>
      <xdr:colOff>1528489</xdr:colOff>
      <xdr:row>51</xdr:row>
      <xdr:rowOff>165100</xdr:rowOff>
    </xdr:from>
    <xdr:to>
      <xdr:col>11</xdr:col>
      <xdr:colOff>25400</xdr:colOff>
      <xdr:row>53</xdr:row>
      <xdr:rowOff>14516</xdr:rowOff>
    </xdr:to>
    <xdr:sp macro="" textlink="G17">
      <xdr:nvSpPr>
        <xdr:cNvPr id="26" name="CuadroTexto 25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 txBox="1"/>
      </xdr:nvSpPr>
      <xdr:spPr>
        <a:xfrm>
          <a:off x="10748689" y="11163300"/>
          <a:ext cx="465411" cy="2558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B92D3AF-B45E-461E-8C29-22B7DE936BDD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6:20</a:t>
          </a:fld>
          <a:endParaRPr lang="es-CL" sz="1050"/>
        </a:p>
      </xdr:txBody>
    </xdr:sp>
    <xdr:clientData/>
  </xdr:twoCellAnchor>
  <xdr:twoCellAnchor>
    <xdr:from>
      <xdr:col>10</xdr:col>
      <xdr:colOff>0</xdr:colOff>
      <xdr:row>13</xdr:row>
      <xdr:rowOff>0</xdr:rowOff>
    </xdr:from>
    <xdr:to>
      <xdr:col>10</xdr:col>
      <xdr:colOff>5275035</xdr:colOff>
      <xdr:row>16</xdr:row>
      <xdr:rowOff>143334</xdr:rowOff>
    </xdr:to>
    <xdr:sp macro="" textlink="">
      <xdr:nvSpPr>
        <xdr:cNvPr id="27" name="CuadroTexto 17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 txBox="1"/>
      </xdr:nvSpPr>
      <xdr:spPr>
        <a:xfrm>
          <a:off x="9372600" y="3177540"/>
          <a:ext cx="855435" cy="760554"/>
        </a:xfrm>
        <a:prstGeom prst="rect">
          <a:avLst/>
        </a:prstGeom>
        <a:solidFill>
          <a:schemeClr val="bg2">
            <a:lumMod val="95000"/>
          </a:schemeClr>
        </a:solidFill>
        <a:ln w="19050">
          <a:solidFill>
            <a:srgbClr val="FF0000"/>
          </a:solidFill>
        </a:ln>
      </xdr:spPr>
      <xdr:txBody>
        <a:bodyPr wrap="square" rtlCol="0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265113" indent="-265113">
            <a:tabLst>
              <a:tab pos="265113" algn="l"/>
            </a:tabLst>
          </a:pPr>
          <a:r>
            <a:rPr lang="es-CL" sz="900"/>
            <a:t>LU: </a:t>
          </a:r>
        </a:p>
        <a:p>
          <a:pPr marL="265113" indent="-265113">
            <a:tabLst>
              <a:tab pos="265113" algn="l"/>
            </a:tabLst>
          </a:pPr>
          <a:r>
            <a:rPr lang="es-CL" sz="900"/>
            <a:t>MA: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MI:</a:t>
          </a:r>
          <a:r>
            <a:rPr lang="es-ES" sz="900" baseline="0"/>
            <a:t>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JU: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VI:  .</a:t>
          </a:r>
          <a:endParaRPr lang="es-CL" sz="900"/>
        </a:p>
      </xdr:txBody>
    </xdr:sp>
    <xdr:clientData/>
  </xdr:twoCellAnchor>
  <xdr:twoCellAnchor editAs="oneCell">
    <xdr:from>
      <xdr:col>3</xdr:col>
      <xdr:colOff>139701</xdr:colOff>
      <xdr:row>26</xdr:row>
      <xdr:rowOff>30327</xdr:rowOff>
    </xdr:from>
    <xdr:to>
      <xdr:col>7</xdr:col>
      <xdr:colOff>408941</xdr:colOff>
      <xdr:row>31</xdr:row>
      <xdr:rowOff>76200</xdr:rowOff>
    </xdr:to>
    <xdr:pic>
      <xdr:nvPicPr>
        <xdr:cNvPr id="28" name="Imagen 2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00021" y="5905347"/>
          <a:ext cx="4391660" cy="1036473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24</xdr:row>
      <xdr:rowOff>0</xdr:rowOff>
    </xdr:from>
    <xdr:to>
      <xdr:col>6</xdr:col>
      <xdr:colOff>671975</xdr:colOff>
      <xdr:row>41</xdr:row>
      <xdr:rowOff>14525</xdr:rowOff>
    </xdr:to>
    <xdr:pic>
      <xdr:nvPicPr>
        <xdr:cNvPr id="30" name="Imagen 2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01800" y="5511800"/>
          <a:ext cx="4608975" cy="3468925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7620</xdr:colOff>
      <xdr:row>10</xdr:row>
      <xdr:rowOff>7620</xdr:rowOff>
    </xdr:from>
    <xdr:to>
      <xdr:col>24</xdr:col>
      <xdr:colOff>121920</xdr:colOff>
      <xdr:row>13</xdr:row>
      <xdr:rowOff>38100</xdr:rowOff>
    </xdr:to>
    <xdr:sp macro="" textlink="">
      <xdr:nvSpPr>
        <xdr:cNvPr id="7" name="Rectángulo 6"/>
        <xdr:cNvSpPr/>
      </xdr:nvSpPr>
      <xdr:spPr>
        <a:xfrm>
          <a:off x="5295900" y="2339340"/>
          <a:ext cx="2964180" cy="62484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CL" sz="1100"/>
            <a:t>Se preferencia a limpieza de galeria</a:t>
          </a:r>
        </a:p>
      </xdr:txBody>
    </xdr:sp>
    <xdr:clientData/>
  </xdr:twoCellAnchor>
  <xdr:twoCellAnchor>
    <xdr:from>
      <xdr:col>9</xdr:col>
      <xdr:colOff>160020</xdr:colOff>
      <xdr:row>5</xdr:row>
      <xdr:rowOff>182880</xdr:rowOff>
    </xdr:from>
    <xdr:to>
      <xdr:col>14</xdr:col>
      <xdr:colOff>182880</xdr:colOff>
      <xdr:row>11</xdr:row>
      <xdr:rowOff>144780</xdr:rowOff>
    </xdr:to>
    <xdr:cxnSp macro="">
      <xdr:nvCxnSpPr>
        <xdr:cNvPr id="4" name="Conector angular 3"/>
        <xdr:cNvCxnSpPr/>
      </xdr:nvCxnSpPr>
      <xdr:spPr>
        <a:xfrm rot="16200000" flipH="1">
          <a:off x="4335780" y="1280160"/>
          <a:ext cx="1470660" cy="1318260"/>
        </a:xfrm>
        <a:prstGeom prst="bentConnector3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2057400</xdr:colOff>
      <xdr:row>5</xdr:row>
      <xdr:rowOff>160020</xdr:rowOff>
    </xdr:from>
    <xdr:to>
      <xdr:col>3</xdr:col>
      <xdr:colOff>160020</xdr:colOff>
      <xdr:row>9</xdr:row>
      <xdr:rowOff>121920</xdr:rowOff>
    </xdr:to>
    <xdr:cxnSp macro="">
      <xdr:nvCxnSpPr>
        <xdr:cNvPr id="12" name="Conector angular 11"/>
        <xdr:cNvCxnSpPr/>
      </xdr:nvCxnSpPr>
      <xdr:spPr>
        <a:xfrm rot="5400000" flipH="1" flipV="1">
          <a:off x="2038350" y="1436370"/>
          <a:ext cx="1074420" cy="563880"/>
        </a:xfrm>
        <a:prstGeom prst="bentConnector3">
          <a:avLst>
            <a:gd name="adj1" fmla="val 50000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281940</xdr:colOff>
      <xdr:row>8</xdr:row>
      <xdr:rowOff>30480</xdr:rowOff>
    </xdr:from>
    <xdr:to>
      <xdr:col>6</xdr:col>
      <xdr:colOff>7620</xdr:colOff>
      <xdr:row>10</xdr:row>
      <xdr:rowOff>38100</xdr:rowOff>
    </xdr:to>
    <xdr:sp macro="" textlink="">
      <xdr:nvSpPr>
        <xdr:cNvPr id="14" name="Rectángulo 13"/>
        <xdr:cNvSpPr/>
      </xdr:nvSpPr>
      <xdr:spPr>
        <a:xfrm>
          <a:off x="518160" y="1965960"/>
          <a:ext cx="2964180" cy="40386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CL" sz="1100"/>
            <a:t>Durante el turno A se prioriza Fuga de agua y cambio de  fiting</a:t>
          </a:r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8</xdr:col>
      <xdr:colOff>274862</xdr:colOff>
      <xdr:row>25</xdr:row>
      <xdr:rowOff>73570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3440" y="198120"/>
          <a:ext cx="6248942" cy="4828450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8</xdr:col>
      <xdr:colOff>335827</xdr:colOff>
      <xdr:row>26</xdr:row>
      <xdr:rowOff>76636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3440" y="198120"/>
          <a:ext cx="6309907" cy="5029636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92832</xdr:colOff>
      <xdr:row>9</xdr:row>
      <xdr:rowOff>15424</xdr:rowOff>
    </xdr:from>
    <xdr:to>
      <xdr:col>12</xdr:col>
      <xdr:colOff>218230</xdr:colOff>
      <xdr:row>11</xdr:row>
      <xdr:rowOff>205371</xdr:rowOff>
    </xdr:to>
    <xdr:sp macro="" textlink="">
      <xdr:nvSpPr>
        <xdr:cNvPr id="116" name="Rectangle 153">
          <a:extLst>
            <a:ext uri="{FF2B5EF4-FFF2-40B4-BE49-F238E27FC236}">
              <a16:creationId xmlns:a16="http://schemas.microsoft.com/office/drawing/2014/main" id="{00000000-0008-0000-0300-000039000000}"/>
            </a:ext>
          </a:extLst>
        </xdr:cNvPr>
        <xdr:cNvSpPr/>
      </xdr:nvSpPr>
      <xdr:spPr>
        <a:xfrm>
          <a:off x="934207" y="1872799"/>
          <a:ext cx="9380523" cy="602697"/>
        </a:xfrm>
        <a:prstGeom prst="rect">
          <a:avLst/>
        </a:prstGeom>
        <a:solidFill>
          <a:sysClr val="window" lastClr="FFFFFF"/>
        </a:solidFill>
        <a:ln w="9525">
          <a:solidFill>
            <a:sysClr val="window" lastClr="FFFFFF">
              <a:lumMod val="85000"/>
            </a:sysClr>
          </a:solidFill>
          <a:miter lim="800000"/>
          <a:headEnd/>
          <a:tailEnd/>
        </a:ln>
        <a:effectLst/>
      </xdr:spPr>
      <xdr:txBody>
        <a:bodyPr wrap="square" lIns="63833" tIns="31917" rIns="63833" bIns="31917" anchor="ctr"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457200" marR="0" lvl="1" indent="0" algn="l" defTabSz="858370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>
              <a:srgbClr val="1F497D"/>
            </a:buClr>
            <a:buSzTx/>
            <a:buFontTx/>
            <a:buNone/>
            <a:tabLst/>
            <a:defRPr/>
          </a:pPr>
          <a:r>
            <a:rPr kumimoji="0" lang="es-ES_tradnl" sz="1100" b="1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charset="0"/>
              <a:ea typeface="+mn-ea"/>
              <a:cs typeface="Arial" charset="0"/>
            </a:rPr>
            <a:t> </a:t>
          </a:r>
          <a:r>
            <a:rPr kumimoji="0" lang="es-ES_tradnl" sz="1200" b="1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charset="0"/>
              <a:ea typeface="+mn-ea"/>
              <a:cs typeface="Arial" charset="0"/>
            </a:rPr>
            <a:t>Novedades del turno anterior y preparación charla </a:t>
          </a:r>
        </a:p>
        <a:p>
          <a:pPr marL="457200" marR="0" lvl="1" indent="0" algn="l" defTabSz="858370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>
              <a:srgbClr val="1F497D"/>
            </a:buClr>
            <a:buSzTx/>
            <a:buFontTx/>
            <a:buNone/>
            <a:tabLst/>
            <a:defRPr/>
          </a:pPr>
          <a:r>
            <a:rPr kumimoji="0" lang="es-ES" sz="1078" b="0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charset="0"/>
              <a:ea typeface="+mn-ea"/>
              <a:cs typeface="Arial" charset="0"/>
            </a:rPr>
            <a:t> Supervisor de terreno novedades en la oficina del jefe de mantención DET y asigna recursos </a:t>
          </a:r>
        </a:p>
        <a:p>
          <a:pPr marL="457200" marR="0" lvl="1" indent="0" algn="l" defTabSz="858370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>
              <a:srgbClr val="1F497D"/>
            </a:buClr>
            <a:buSzTx/>
            <a:buFontTx/>
            <a:buNone/>
            <a:tabLst/>
            <a:defRPr/>
          </a:pPr>
          <a:r>
            <a:rPr kumimoji="0" lang="es-ES" sz="1078" b="0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charset="0"/>
              <a:ea typeface="+mn-ea"/>
              <a:cs typeface="Arial" charset="0"/>
            </a:rPr>
            <a:t> para dar cumplimiento de las actividades.</a:t>
          </a:r>
        </a:p>
      </xdr:txBody>
    </xdr:sp>
    <xdr:clientData/>
  </xdr:twoCellAnchor>
  <xdr:twoCellAnchor>
    <xdr:from>
      <xdr:col>1</xdr:col>
      <xdr:colOff>62960</xdr:colOff>
      <xdr:row>1</xdr:row>
      <xdr:rowOff>0</xdr:rowOff>
    </xdr:from>
    <xdr:to>
      <xdr:col>11</xdr:col>
      <xdr:colOff>211488</xdr:colOff>
      <xdr:row>4</xdr:row>
      <xdr:rowOff>212</xdr:rowOff>
    </xdr:to>
    <xdr:sp macro="" textlink="">
      <xdr:nvSpPr>
        <xdr:cNvPr id="117" name="Title 1">
          <a:extLst>
            <a:ext uri="{FF2B5EF4-FFF2-40B4-BE49-F238E27FC236}">
              <a16:creationId xmlns:a16="http://schemas.microsoft.com/office/drawing/2014/main" id="{00000000-0008-0000-0300-00003A000000}"/>
            </a:ext>
          </a:extLst>
        </xdr:cNvPr>
        <xdr:cNvSpPr txBox="1">
          <a:spLocks/>
        </xdr:cNvSpPr>
      </xdr:nvSpPr>
      <xdr:spPr bwMode="auto">
        <a:xfrm>
          <a:off x="904335" y="206375"/>
          <a:ext cx="8562278" cy="619337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2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  <xdr:txBody>
        <a:bodyPr vert="horz" wrap="square" lIns="0" tIns="0" rIns="0" bIns="0" numCol="1" anchor="t" anchorCtr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2200" b="0" i="0" u="none" strike="noStrike" kern="0" cap="none" spc="0" normalizeH="0" baseline="0" noProof="0">
              <a:ln>
                <a:noFill/>
              </a:ln>
              <a:solidFill>
                <a:srgbClr val="1F497D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Estándar disciplina operacional </a:t>
          </a:r>
        </a:p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2000" b="0" i="0" u="none" strike="noStrike" kern="0" cap="none" spc="0" normalizeH="0" baseline="0" noProof="0">
              <a:ln>
                <a:noFill/>
              </a:ln>
              <a:solidFill>
                <a:srgbClr val="1F497D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MIES – ACM</a:t>
          </a:r>
        </a:p>
      </xdr:txBody>
    </xdr:sp>
    <xdr:clientData/>
  </xdr:twoCellAnchor>
  <xdr:twoCellAnchor>
    <xdr:from>
      <xdr:col>9</xdr:col>
      <xdr:colOff>337286</xdr:colOff>
      <xdr:row>1</xdr:row>
      <xdr:rowOff>91040</xdr:rowOff>
    </xdr:from>
    <xdr:to>
      <xdr:col>12</xdr:col>
      <xdr:colOff>163518</xdr:colOff>
      <xdr:row>5</xdr:row>
      <xdr:rowOff>180975</xdr:rowOff>
    </xdr:to>
    <xdr:sp macro="" textlink="">
      <xdr:nvSpPr>
        <xdr:cNvPr id="118" name="Rectangle 17">
          <a:extLst>
            <a:ext uri="{FF2B5EF4-FFF2-40B4-BE49-F238E27FC236}">
              <a16:creationId xmlns:a16="http://schemas.microsoft.com/office/drawing/2014/main" id="{00000000-0008-0000-0300-00003B000000}"/>
            </a:ext>
          </a:extLst>
        </xdr:cNvPr>
        <xdr:cNvSpPr>
          <a:spLocks noChangeArrowheads="1"/>
        </xdr:cNvSpPr>
      </xdr:nvSpPr>
      <xdr:spPr bwMode="auto">
        <a:xfrm>
          <a:off x="7909661" y="297415"/>
          <a:ext cx="2350357" cy="915435"/>
        </a:xfrm>
        <a:prstGeom prst="rect">
          <a:avLst/>
        </a:prstGeom>
        <a:solidFill>
          <a:sysClr val="window" lastClr="FFFFFF"/>
        </a:solidFill>
        <a:ln w="19050">
          <a:solidFill>
            <a:srgbClr val="002060"/>
          </a:solidFill>
          <a:round/>
          <a:headEnd/>
          <a:tailEnd/>
        </a:ln>
        <a:effectLst/>
      </xdr:spPr>
      <xdr:txBody>
        <a:bodyPr vert="horz" wrap="square" lIns="45864" tIns="0" rIns="40112" bIns="0" numCol="1" anchor="ctr" anchorCtr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l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ES_tradnl" sz="1568" b="1" i="0" u="none" strike="noStrike" kern="0" cap="none" spc="0" normalizeH="0" baseline="0" noProof="0">
              <a:ln>
                <a:noFill/>
              </a:ln>
              <a:solidFill>
                <a:srgbClr val="002960"/>
              </a:solidFill>
              <a:effectLst/>
              <a:uLnTx/>
              <a:uFillTx/>
              <a:latin typeface="Arial" charset="0"/>
              <a:ea typeface="+mn-ea"/>
              <a:cs typeface="Arial" pitchFamily="34" charset="0"/>
            </a:rPr>
            <a:t>META</a:t>
          </a:r>
        </a:p>
        <a:p>
          <a:pPr marL="0" marR="0" lvl="0" indent="0" algn="l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ES" sz="1176" b="1" i="0" u="none" strike="noStrike" kern="0" cap="none" spc="0" normalizeH="0" baseline="0" noProof="0">
              <a:ln>
                <a:noFill/>
              </a:ln>
              <a:solidFill>
                <a:srgbClr val="002960"/>
              </a:solidFill>
              <a:effectLst/>
              <a:uLnTx/>
              <a:uFillTx/>
              <a:latin typeface="Arial" charset="0"/>
              <a:ea typeface="+mn-ea"/>
              <a:cs typeface="Arial" pitchFamily="34" charset="0"/>
            </a:rPr>
            <a:t>Tener un tiempo Disponible de trabajo de 10:10 horas   </a:t>
          </a:r>
          <a:endParaRPr kumimoji="0" lang="es-ES_tradnl" sz="1176" b="1" i="0" u="none" strike="noStrike" kern="0" cap="none" spc="0" normalizeH="0" baseline="0" noProof="0">
            <a:ln>
              <a:noFill/>
            </a:ln>
            <a:solidFill>
              <a:srgbClr val="002960"/>
            </a:solidFill>
            <a:effectLst/>
            <a:uLnTx/>
            <a:uFillTx/>
            <a:latin typeface="Arial" charset="0"/>
            <a:ea typeface="+mn-ea"/>
            <a:cs typeface="Arial" pitchFamily="34" charset="0"/>
          </a:endParaRPr>
        </a:p>
      </xdr:txBody>
    </xdr:sp>
    <xdr:clientData/>
  </xdr:twoCellAnchor>
  <xdr:twoCellAnchor>
    <xdr:from>
      <xdr:col>11</xdr:col>
      <xdr:colOff>403305</xdr:colOff>
      <xdr:row>1</xdr:row>
      <xdr:rowOff>56393</xdr:rowOff>
    </xdr:from>
    <xdr:to>
      <xdr:col>12</xdr:col>
      <xdr:colOff>94843</xdr:colOff>
      <xdr:row>3</xdr:row>
      <xdr:rowOff>83142</xdr:rowOff>
    </xdr:to>
    <xdr:pic>
      <xdr:nvPicPr>
        <xdr:cNvPr id="119" name="1 Imagen">
          <a:extLst>
            <a:ext uri="{FF2B5EF4-FFF2-40B4-BE49-F238E27FC236}">
              <a16:creationId xmlns:a16="http://schemas.microsoft.com/office/drawing/2014/main" id="{00000000-0008-0000-0300-00003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9658430" y="262768"/>
          <a:ext cx="532913" cy="439499"/>
        </a:xfrm>
        <a:prstGeom prst="rect">
          <a:avLst/>
        </a:prstGeom>
      </xdr:spPr>
    </xdr:pic>
    <xdr:clientData/>
  </xdr:twoCellAnchor>
  <xdr:twoCellAnchor>
    <xdr:from>
      <xdr:col>1</xdr:col>
      <xdr:colOff>12700</xdr:colOff>
      <xdr:row>3</xdr:row>
      <xdr:rowOff>188262</xdr:rowOff>
    </xdr:from>
    <xdr:to>
      <xdr:col>1</xdr:col>
      <xdr:colOff>571060</xdr:colOff>
      <xdr:row>6</xdr:row>
      <xdr:rowOff>50762</xdr:rowOff>
    </xdr:to>
    <xdr:sp macro="" textlink="">
      <xdr:nvSpPr>
        <xdr:cNvPr id="120" name="Rectangle 82">
          <a:extLst>
            <a:ext uri="{FF2B5EF4-FFF2-40B4-BE49-F238E27FC236}">
              <a16:creationId xmlns:a16="http://schemas.microsoft.com/office/drawing/2014/main" id="{00000000-0008-0000-0300-00003D000000}"/>
            </a:ext>
          </a:extLst>
        </xdr:cNvPr>
        <xdr:cNvSpPr>
          <a:spLocks/>
        </xdr:cNvSpPr>
      </xdr:nvSpPr>
      <xdr:spPr bwMode="gray">
        <a:xfrm>
          <a:off x="854075" y="807387"/>
          <a:ext cx="558360" cy="481625"/>
        </a:xfrm>
        <a:prstGeom prst="rect">
          <a:avLst/>
        </a:prstGeom>
        <a:gradFill flip="none" rotWithShape="1">
          <a:gsLst>
            <a:gs pos="0">
              <a:srgbClr val="9FAEBB"/>
            </a:gs>
            <a:gs pos="100000">
              <a:srgbClr val="9FAEBB">
                <a:gamma/>
                <a:tint val="69804"/>
                <a:invGamma/>
              </a:srgbClr>
            </a:gs>
          </a:gsLst>
          <a:lin ang="16200000" scaled="1"/>
          <a:tileRect/>
        </a:gradFill>
        <a:ln w="9525">
          <a:solidFill>
            <a:srgbClr val="9FAEBB"/>
          </a:solidFill>
          <a:round/>
          <a:headEnd/>
          <a:tailEnd/>
        </a:ln>
        <a:effectLst/>
      </xdr:spPr>
      <xdr:txBody>
        <a:bodyPr vert="horz" wrap="square" lIns="38097" tIns="38097" rIns="38097" bIns="38097" numCol="1" anchor="t" anchorCtr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ES_tradnl" sz="980" b="1" i="0" u="none" strike="noStrike" kern="0" cap="none" spc="0" normalizeH="0" baseline="0" noProof="0">
              <a:ln>
                <a:noFill/>
              </a:ln>
              <a:solidFill>
                <a:srgbClr val="00296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Versión</a:t>
          </a:r>
          <a:endParaRPr kumimoji="0" lang="es-ES_tradnl" sz="980" b="1" i="0" u="none" strike="noStrike" kern="0" cap="none" spc="0" normalizeH="0" baseline="0" noProof="0">
            <a:ln>
              <a:noFill/>
            </a:ln>
            <a:solidFill>
              <a:srgbClr val="002960"/>
            </a:solidFill>
            <a:effectLst/>
            <a:uLnTx/>
            <a:uFillTx/>
            <a:latin typeface="Arial" charset="0"/>
            <a:ea typeface="+mn-ea"/>
            <a:cs typeface="Arial" pitchFamily="34" charset="0"/>
          </a:endParaRPr>
        </a:p>
      </xdr:txBody>
    </xdr:sp>
    <xdr:clientData/>
  </xdr:twoCellAnchor>
  <xdr:twoCellAnchor>
    <xdr:from>
      <xdr:col>1</xdr:col>
      <xdr:colOff>34377</xdr:colOff>
      <xdr:row>5</xdr:row>
      <xdr:rowOff>14994</xdr:rowOff>
    </xdr:from>
    <xdr:to>
      <xdr:col>1</xdr:col>
      <xdr:colOff>581426</xdr:colOff>
      <xdr:row>6</xdr:row>
      <xdr:rowOff>113867</xdr:rowOff>
    </xdr:to>
    <xdr:sp macro="" textlink="">
      <xdr:nvSpPr>
        <xdr:cNvPr id="121" name="Rectangle 17">
          <a:extLst>
            <a:ext uri="{FF2B5EF4-FFF2-40B4-BE49-F238E27FC236}">
              <a16:creationId xmlns:a16="http://schemas.microsoft.com/office/drawing/2014/main" id="{00000000-0008-0000-0300-00003E000000}"/>
            </a:ext>
          </a:extLst>
        </xdr:cNvPr>
        <xdr:cNvSpPr>
          <a:spLocks noChangeArrowheads="1"/>
        </xdr:cNvSpPr>
      </xdr:nvSpPr>
      <xdr:spPr bwMode="auto">
        <a:xfrm>
          <a:off x="875752" y="1046869"/>
          <a:ext cx="547049" cy="305248"/>
        </a:xfrm>
        <a:prstGeom prst="rect">
          <a:avLst/>
        </a:prstGeom>
        <a:solidFill>
          <a:srgbClr val="FFFFFF">
            <a:lumMod val="95000"/>
          </a:srgbClr>
        </a:solidFill>
        <a:ln w="9525" algn="ctr">
          <a:solidFill>
            <a:srgbClr val="FFFFFF">
              <a:lumMod val="75000"/>
            </a:srgbClr>
          </a:solidFill>
          <a:miter lim="800000"/>
          <a:headEnd/>
          <a:tailEnd/>
        </a:ln>
        <a:effectLst>
          <a:outerShdw dist="53340" dir="2700000" algn="ctr" rotWithShape="0">
            <a:srgbClr val="19282F">
              <a:alpha val="8000"/>
            </a:srgbClr>
          </a:outerShdw>
        </a:effectLst>
      </xdr:spPr>
      <xdr:txBody>
        <a:bodyPr vert="horz" wrap="square" lIns="0" tIns="0" rIns="0" bIns="0" numCol="1" anchor="ctr" anchorCtr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ES_tradnl" sz="882" b="1" i="0" u="none" strike="noStrike" kern="0" cap="none" spc="0" normalizeH="0" baseline="0" noProof="0">
              <a:ln>
                <a:noFill/>
              </a:ln>
              <a:solidFill>
                <a:srgbClr val="002960"/>
              </a:solidFill>
              <a:effectLst/>
              <a:uLnTx/>
              <a:uFillTx/>
              <a:latin typeface="Arial" charset="0"/>
              <a:ea typeface="+mn-ea"/>
              <a:cs typeface="Arial" pitchFamily="34" charset="0"/>
            </a:rPr>
            <a:t>1</a:t>
          </a:r>
        </a:p>
      </xdr:txBody>
    </xdr:sp>
    <xdr:clientData/>
  </xdr:twoCellAnchor>
  <xdr:twoCellAnchor>
    <xdr:from>
      <xdr:col>5</xdr:col>
      <xdr:colOff>802842</xdr:colOff>
      <xdr:row>3</xdr:row>
      <xdr:rowOff>198080</xdr:rowOff>
    </xdr:from>
    <xdr:to>
      <xdr:col>7</xdr:col>
      <xdr:colOff>488413</xdr:colOff>
      <xdr:row>6</xdr:row>
      <xdr:rowOff>60579</xdr:rowOff>
    </xdr:to>
    <xdr:sp macro="" textlink="">
      <xdr:nvSpPr>
        <xdr:cNvPr id="122" name="Rectangle 17">
          <a:extLst>
            <a:ext uri="{FF2B5EF4-FFF2-40B4-BE49-F238E27FC236}">
              <a16:creationId xmlns:a16="http://schemas.microsoft.com/office/drawing/2014/main" id="{00000000-0008-0000-0300-00003F000000}"/>
            </a:ext>
          </a:extLst>
        </xdr:cNvPr>
        <xdr:cNvSpPr>
          <a:spLocks noChangeArrowheads="1"/>
        </xdr:cNvSpPr>
      </xdr:nvSpPr>
      <xdr:spPr bwMode="auto">
        <a:xfrm>
          <a:off x="5009717" y="817205"/>
          <a:ext cx="1368321" cy="481624"/>
        </a:xfrm>
        <a:prstGeom prst="rect">
          <a:avLst/>
        </a:prstGeom>
        <a:gradFill flip="none" rotWithShape="1">
          <a:gsLst>
            <a:gs pos="0">
              <a:srgbClr val="9FAEBB"/>
            </a:gs>
            <a:gs pos="100000">
              <a:srgbClr val="9FAEBB">
                <a:gamma/>
                <a:tint val="69804"/>
                <a:invGamma/>
              </a:srgbClr>
            </a:gs>
          </a:gsLst>
          <a:lin ang="16200000" scaled="1"/>
          <a:tileRect/>
        </a:gradFill>
        <a:ln w="9525">
          <a:solidFill>
            <a:srgbClr val="9FAEBB"/>
          </a:solidFill>
          <a:round/>
          <a:headEnd/>
          <a:tailEnd/>
        </a:ln>
        <a:effectLst/>
      </xdr:spPr>
      <xdr:txBody>
        <a:bodyPr vert="horz" wrap="square" lIns="38097" tIns="38097" rIns="38097" bIns="38097" numCol="1" anchor="t" anchorCtr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ES_tradnl" sz="980" b="1" i="0" u="none" strike="noStrike" kern="0" cap="none" spc="0" normalizeH="0" baseline="0" noProof="0">
              <a:ln>
                <a:noFill/>
              </a:ln>
              <a:solidFill>
                <a:srgbClr val="00296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Resp. Estándar:</a:t>
          </a:r>
        </a:p>
      </xdr:txBody>
    </xdr:sp>
    <xdr:clientData/>
  </xdr:twoCellAnchor>
  <xdr:twoCellAnchor>
    <xdr:from>
      <xdr:col>5</xdr:col>
      <xdr:colOff>774667</xdr:colOff>
      <xdr:row>4</xdr:row>
      <xdr:rowOff>187327</xdr:rowOff>
    </xdr:from>
    <xdr:to>
      <xdr:col>7</xdr:col>
      <xdr:colOff>374248</xdr:colOff>
      <xdr:row>6</xdr:row>
      <xdr:rowOff>75675</xdr:rowOff>
    </xdr:to>
    <xdr:sp macro="" textlink="">
      <xdr:nvSpPr>
        <xdr:cNvPr id="123" name="Rectangle 17">
          <a:extLst>
            <a:ext uri="{FF2B5EF4-FFF2-40B4-BE49-F238E27FC236}">
              <a16:creationId xmlns:a16="http://schemas.microsoft.com/office/drawing/2014/main" id="{00000000-0008-0000-0300-000040000000}"/>
            </a:ext>
          </a:extLst>
        </xdr:cNvPr>
        <xdr:cNvSpPr>
          <a:spLocks noChangeArrowheads="1"/>
        </xdr:cNvSpPr>
      </xdr:nvSpPr>
      <xdr:spPr bwMode="auto">
        <a:xfrm>
          <a:off x="4981542" y="1012827"/>
          <a:ext cx="1282331" cy="301098"/>
        </a:xfrm>
        <a:prstGeom prst="rect">
          <a:avLst/>
        </a:prstGeom>
        <a:solidFill>
          <a:srgbClr val="FFFFFF">
            <a:lumMod val="95000"/>
          </a:srgbClr>
        </a:solidFill>
        <a:ln w="9525" algn="ctr">
          <a:solidFill>
            <a:srgbClr val="FFFFFF">
              <a:lumMod val="75000"/>
            </a:srgbClr>
          </a:solidFill>
          <a:miter lim="800000"/>
          <a:headEnd/>
          <a:tailEnd/>
        </a:ln>
        <a:effectLst>
          <a:outerShdw dist="53340" dir="2700000" algn="ctr" rotWithShape="0">
            <a:srgbClr val="19282F">
              <a:alpha val="8000"/>
            </a:srgbClr>
          </a:outerShdw>
        </a:effectLst>
      </xdr:spPr>
      <xdr:txBody>
        <a:bodyPr vert="horz" wrap="square" lIns="0" tIns="0" rIns="0" bIns="0" numCol="1" anchor="ctr" anchorCtr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ES_tradnl" sz="882" b="1" i="0" u="none" strike="noStrike" kern="0" cap="none" spc="0" normalizeH="0" baseline="0" noProof="0">
              <a:ln>
                <a:noFill/>
              </a:ln>
              <a:solidFill>
                <a:srgbClr val="002960"/>
              </a:solidFill>
              <a:effectLst/>
              <a:uLnTx/>
              <a:uFillTx/>
              <a:latin typeface="Arial" charset="0"/>
              <a:ea typeface="+mn-ea"/>
              <a:cs typeface="Arial" pitchFamily="34" charset="0"/>
            </a:rPr>
            <a:t>Carlos Ortiz L</a:t>
          </a:r>
        </a:p>
      </xdr:txBody>
    </xdr:sp>
    <xdr:clientData/>
  </xdr:twoCellAnchor>
  <xdr:twoCellAnchor>
    <xdr:from>
      <xdr:col>7</xdr:col>
      <xdr:colOff>418670</xdr:colOff>
      <xdr:row>3</xdr:row>
      <xdr:rowOff>204135</xdr:rowOff>
    </xdr:from>
    <xdr:to>
      <xdr:col>9</xdr:col>
      <xdr:colOff>207967</xdr:colOff>
      <xdr:row>6</xdr:row>
      <xdr:rowOff>66634</xdr:rowOff>
    </xdr:to>
    <xdr:sp macro="" textlink="">
      <xdr:nvSpPr>
        <xdr:cNvPr id="124" name="Rectangle 17">
          <a:extLst>
            <a:ext uri="{FF2B5EF4-FFF2-40B4-BE49-F238E27FC236}">
              <a16:creationId xmlns:a16="http://schemas.microsoft.com/office/drawing/2014/main" id="{00000000-0008-0000-0300-000041000000}"/>
            </a:ext>
          </a:extLst>
        </xdr:cNvPr>
        <xdr:cNvSpPr>
          <a:spLocks noChangeArrowheads="1"/>
        </xdr:cNvSpPr>
      </xdr:nvSpPr>
      <xdr:spPr bwMode="auto">
        <a:xfrm>
          <a:off x="6308295" y="823260"/>
          <a:ext cx="1472047" cy="481624"/>
        </a:xfrm>
        <a:prstGeom prst="rect">
          <a:avLst/>
        </a:prstGeom>
        <a:gradFill flip="none" rotWithShape="1">
          <a:gsLst>
            <a:gs pos="0">
              <a:srgbClr val="9FAEBB"/>
            </a:gs>
            <a:gs pos="100000">
              <a:srgbClr val="9FAEBB">
                <a:gamma/>
                <a:tint val="69804"/>
                <a:invGamma/>
              </a:srgbClr>
            </a:gs>
          </a:gsLst>
          <a:lin ang="16200000" scaled="1"/>
          <a:tileRect/>
        </a:gradFill>
        <a:ln w="9525">
          <a:solidFill>
            <a:srgbClr val="9FAEBB"/>
          </a:solidFill>
          <a:round/>
          <a:headEnd/>
          <a:tailEnd/>
        </a:ln>
        <a:effectLst/>
      </xdr:spPr>
      <xdr:txBody>
        <a:bodyPr vert="horz" wrap="square" lIns="38097" tIns="38097" rIns="38097" bIns="38097" numCol="1" anchor="t" anchorCtr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ES_tradnl" sz="882" b="1" i="0" u="none" strike="noStrike" kern="0" cap="none" spc="0" normalizeH="0" baseline="0" noProof="0">
              <a:ln>
                <a:noFill/>
              </a:ln>
              <a:solidFill>
                <a:srgbClr val="00296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Resp. Ejecución:</a:t>
          </a:r>
        </a:p>
      </xdr:txBody>
    </xdr:sp>
    <xdr:clientData/>
  </xdr:twoCellAnchor>
  <xdr:twoCellAnchor>
    <xdr:from>
      <xdr:col>7</xdr:col>
      <xdr:colOff>466324</xdr:colOff>
      <xdr:row>4</xdr:row>
      <xdr:rowOff>187327</xdr:rowOff>
    </xdr:from>
    <xdr:to>
      <xdr:col>9</xdr:col>
      <xdr:colOff>160300</xdr:colOff>
      <xdr:row>6</xdr:row>
      <xdr:rowOff>75675</xdr:rowOff>
    </xdr:to>
    <xdr:sp macro="" textlink="">
      <xdr:nvSpPr>
        <xdr:cNvPr id="125" name="Rectangle 17">
          <a:extLst>
            <a:ext uri="{FF2B5EF4-FFF2-40B4-BE49-F238E27FC236}">
              <a16:creationId xmlns:a16="http://schemas.microsoft.com/office/drawing/2014/main" id="{00000000-0008-0000-0300-000042000000}"/>
            </a:ext>
          </a:extLst>
        </xdr:cNvPr>
        <xdr:cNvSpPr>
          <a:spLocks noChangeArrowheads="1"/>
        </xdr:cNvSpPr>
      </xdr:nvSpPr>
      <xdr:spPr bwMode="auto">
        <a:xfrm>
          <a:off x="6355949" y="1012827"/>
          <a:ext cx="1376726" cy="301098"/>
        </a:xfrm>
        <a:prstGeom prst="rect">
          <a:avLst/>
        </a:prstGeom>
        <a:solidFill>
          <a:srgbClr val="FFFFFF">
            <a:lumMod val="95000"/>
          </a:srgbClr>
        </a:solidFill>
        <a:ln w="9525" algn="ctr">
          <a:solidFill>
            <a:srgbClr val="FFFFFF">
              <a:lumMod val="75000"/>
            </a:srgbClr>
          </a:solidFill>
          <a:miter lim="800000"/>
          <a:headEnd/>
          <a:tailEnd/>
        </a:ln>
        <a:effectLst>
          <a:outerShdw dist="53340" dir="2700000" algn="ctr" rotWithShape="0">
            <a:srgbClr val="19282F">
              <a:alpha val="8000"/>
            </a:srgbClr>
          </a:outerShdw>
        </a:effectLst>
      </xdr:spPr>
      <xdr:txBody>
        <a:bodyPr vert="horz" wrap="square" lIns="0" tIns="0" rIns="0" bIns="0" numCol="1" anchor="ctr" anchorCtr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ES_tradnl" sz="882" b="1" i="0" u="none" strike="noStrike" kern="0" cap="none" spc="0" normalizeH="0" baseline="0" noProof="0">
              <a:ln>
                <a:noFill/>
              </a:ln>
              <a:solidFill>
                <a:srgbClr val="002960"/>
              </a:solidFill>
              <a:effectLst/>
              <a:uLnTx/>
              <a:uFillTx/>
              <a:latin typeface="Arial" charset="0"/>
              <a:ea typeface="+mn-ea"/>
              <a:cs typeface="Arial" pitchFamily="34" charset="0"/>
            </a:rPr>
            <a:t>Jefe de terreno</a:t>
          </a:r>
        </a:p>
      </xdr:txBody>
    </xdr:sp>
    <xdr:clientData/>
  </xdr:twoCellAnchor>
  <xdr:twoCellAnchor>
    <xdr:from>
      <xdr:col>4</xdr:col>
      <xdr:colOff>709654</xdr:colOff>
      <xdr:row>3</xdr:row>
      <xdr:rowOff>198081</xdr:rowOff>
    </xdr:from>
    <xdr:to>
      <xdr:col>5</xdr:col>
      <xdr:colOff>812978</xdr:colOff>
      <xdr:row>6</xdr:row>
      <xdr:rowOff>60580</xdr:rowOff>
    </xdr:to>
    <xdr:sp macro="" textlink="">
      <xdr:nvSpPr>
        <xdr:cNvPr id="126" name="Rectangle 17">
          <a:extLst>
            <a:ext uri="{FF2B5EF4-FFF2-40B4-BE49-F238E27FC236}">
              <a16:creationId xmlns:a16="http://schemas.microsoft.com/office/drawing/2014/main" id="{00000000-0008-0000-0300-000043000000}"/>
            </a:ext>
          </a:extLst>
        </xdr:cNvPr>
        <xdr:cNvSpPr>
          <a:spLocks noChangeArrowheads="1"/>
        </xdr:cNvSpPr>
      </xdr:nvSpPr>
      <xdr:spPr bwMode="auto">
        <a:xfrm>
          <a:off x="4075154" y="817206"/>
          <a:ext cx="944699" cy="481624"/>
        </a:xfrm>
        <a:prstGeom prst="rect">
          <a:avLst/>
        </a:prstGeom>
        <a:gradFill flip="none" rotWithShape="1">
          <a:gsLst>
            <a:gs pos="0">
              <a:srgbClr val="9FAEBB"/>
            </a:gs>
            <a:gs pos="100000">
              <a:srgbClr val="9FAEBB">
                <a:gamma/>
                <a:tint val="69804"/>
                <a:invGamma/>
              </a:srgbClr>
            </a:gs>
          </a:gsLst>
          <a:lin ang="16200000" scaled="1"/>
          <a:tileRect/>
        </a:gradFill>
        <a:ln w="9525">
          <a:solidFill>
            <a:srgbClr val="9FAEBB"/>
          </a:solidFill>
          <a:round/>
          <a:headEnd/>
          <a:tailEnd/>
        </a:ln>
        <a:effectLst/>
      </xdr:spPr>
      <xdr:txBody>
        <a:bodyPr vert="horz" wrap="square" lIns="38097" tIns="38097" rIns="38097" bIns="38097" numCol="1" anchor="t" anchorCtr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ES_tradnl" sz="980" b="1" i="0" u="none" strike="noStrike" kern="0" cap="none" spc="0" normalizeH="0" baseline="0" noProof="0">
              <a:ln>
                <a:noFill/>
              </a:ln>
              <a:solidFill>
                <a:srgbClr val="00296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Actualización:</a:t>
          </a:r>
        </a:p>
      </xdr:txBody>
    </xdr:sp>
    <xdr:clientData/>
  </xdr:twoCellAnchor>
  <xdr:twoCellAnchor>
    <xdr:from>
      <xdr:col>4</xdr:col>
      <xdr:colOff>728175</xdr:colOff>
      <xdr:row>4</xdr:row>
      <xdr:rowOff>189703</xdr:rowOff>
    </xdr:from>
    <xdr:to>
      <xdr:col>5</xdr:col>
      <xdr:colOff>727000</xdr:colOff>
      <xdr:row>6</xdr:row>
      <xdr:rowOff>78051</xdr:rowOff>
    </xdr:to>
    <xdr:sp macro="" textlink="">
      <xdr:nvSpPr>
        <xdr:cNvPr id="127" name="Rectangle 17">
          <a:extLst>
            <a:ext uri="{FF2B5EF4-FFF2-40B4-BE49-F238E27FC236}">
              <a16:creationId xmlns:a16="http://schemas.microsoft.com/office/drawing/2014/main" id="{00000000-0008-0000-0300-000044000000}"/>
            </a:ext>
          </a:extLst>
        </xdr:cNvPr>
        <xdr:cNvSpPr>
          <a:spLocks noChangeArrowheads="1"/>
        </xdr:cNvSpPr>
      </xdr:nvSpPr>
      <xdr:spPr bwMode="auto">
        <a:xfrm>
          <a:off x="4093675" y="1015203"/>
          <a:ext cx="840200" cy="301098"/>
        </a:xfrm>
        <a:prstGeom prst="rect">
          <a:avLst/>
        </a:prstGeom>
        <a:solidFill>
          <a:srgbClr val="FFFFFF">
            <a:lumMod val="95000"/>
          </a:srgbClr>
        </a:solidFill>
        <a:ln w="9525" algn="ctr">
          <a:solidFill>
            <a:srgbClr val="FFFFFF">
              <a:lumMod val="75000"/>
            </a:srgbClr>
          </a:solidFill>
          <a:miter lim="800000"/>
          <a:headEnd/>
          <a:tailEnd/>
        </a:ln>
        <a:effectLst>
          <a:outerShdw dist="53340" dir="2700000" algn="ctr" rotWithShape="0">
            <a:srgbClr val="19282F">
              <a:alpha val="8000"/>
            </a:srgbClr>
          </a:outerShdw>
        </a:effectLst>
      </xdr:spPr>
      <xdr:txBody>
        <a:bodyPr vert="horz" wrap="square" lIns="0" tIns="0" rIns="0" bIns="0" numCol="1" anchor="ctr" anchorCtr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ES_tradnl" sz="1000" b="1" i="0" u="none" strike="noStrike" kern="0" cap="none" spc="0" normalizeH="0" baseline="0" noProof="0">
              <a:ln>
                <a:noFill/>
              </a:ln>
              <a:solidFill>
                <a:srgbClr val="002960"/>
              </a:solidFill>
              <a:effectLst/>
              <a:uLnTx/>
              <a:uFillTx/>
              <a:latin typeface="Arial" charset="0"/>
              <a:ea typeface="+mn-ea"/>
              <a:cs typeface="Arial" pitchFamily="34" charset="0"/>
            </a:rPr>
            <a:t>01-07-2021</a:t>
          </a:r>
        </a:p>
      </xdr:txBody>
    </xdr:sp>
    <xdr:clientData/>
  </xdr:twoCellAnchor>
  <xdr:twoCellAnchor>
    <xdr:from>
      <xdr:col>1</xdr:col>
      <xdr:colOff>596371</xdr:colOff>
      <xdr:row>3</xdr:row>
      <xdr:rowOff>198082</xdr:rowOff>
    </xdr:from>
    <xdr:to>
      <xdr:col>4</xdr:col>
      <xdr:colOff>707405</xdr:colOff>
      <xdr:row>6</xdr:row>
      <xdr:rowOff>60582</xdr:rowOff>
    </xdr:to>
    <xdr:sp macro="" textlink="">
      <xdr:nvSpPr>
        <xdr:cNvPr id="128" name="Rectangle 17">
          <a:extLst>
            <a:ext uri="{FF2B5EF4-FFF2-40B4-BE49-F238E27FC236}">
              <a16:creationId xmlns:a16="http://schemas.microsoft.com/office/drawing/2014/main" id="{00000000-0008-0000-0300-000045000000}"/>
            </a:ext>
          </a:extLst>
        </xdr:cNvPr>
        <xdr:cNvSpPr>
          <a:spLocks noChangeArrowheads="1"/>
        </xdr:cNvSpPr>
      </xdr:nvSpPr>
      <xdr:spPr bwMode="auto">
        <a:xfrm>
          <a:off x="1437746" y="817207"/>
          <a:ext cx="2635159" cy="481625"/>
        </a:xfrm>
        <a:prstGeom prst="rect">
          <a:avLst/>
        </a:prstGeom>
        <a:gradFill flip="none" rotWithShape="1">
          <a:gsLst>
            <a:gs pos="0">
              <a:srgbClr val="9FAEBB"/>
            </a:gs>
            <a:gs pos="100000">
              <a:srgbClr val="9FAEBB">
                <a:gamma/>
                <a:tint val="69804"/>
                <a:invGamma/>
              </a:srgbClr>
            </a:gs>
          </a:gsLst>
          <a:lin ang="16200000" scaled="1"/>
          <a:tileRect/>
        </a:gradFill>
        <a:ln w="9525">
          <a:solidFill>
            <a:srgbClr val="9FAEBB"/>
          </a:solidFill>
          <a:round/>
          <a:headEnd/>
          <a:tailEnd/>
        </a:ln>
        <a:effectLst/>
      </xdr:spPr>
      <xdr:txBody>
        <a:bodyPr vert="horz" wrap="square" lIns="38097" tIns="38097" rIns="38097" bIns="38097" numCol="1" anchor="t" anchorCtr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ES_tradnl" sz="980" b="1" i="0" u="none" strike="noStrike" kern="0" cap="none" spc="0" normalizeH="0" baseline="0" noProof="0">
              <a:ln>
                <a:noFill/>
              </a:ln>
              <a:solidFill>
                <a:srgbClr val="00296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Objetivo:</a:t>
          </a:r>
          <a:br>
            <a:rPr kumimoji="0" lang="es-ES_tradnl" sz="980" b="1" i="0" u="none" strike="noStrike" kern="0" cap="none" spc="0" normalizeH="0" baseline="0" noProof="0">
              <a:ln>
                <a:noFill/>
              </a:ln>
              <a:solidFill>
                <a:srgbClr val="00296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</a:br>
          <a:endParaRPr kumimoji="0" lang="es-ES_tradnl" sz="980" b="1" i="0" u="none" strike="noStrike" kern="0" cap="none" spc="0" normalizeH="0" baseline="0" noProof="0">
            <a:ln>
              <a:noFill/>
            </a:ln>
            <a:solidFill>
              <a:srgbClr val="00296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641240</xdr:colOff>
      <xdr:row>4</xdr:row>
      <xdr:rowOff>187328</xdr:rowOff>
    </xdr:from>
    <xdr:to>
      <xdr:col>4</xdr:col>
      <xdr:colOff>702404</xdr:colOff>
      <xdr:row>6</xdr:row>
      <xdr:rowOff>66262</xdr:rowOff>
    </xdr:to>
    <xdr:sp macro="" textlink="">
      <xdr:nvSpPr>
        <xdr:cNvPr id="129" name="Rectangle 17">
          <a:extLst>
            <a:ext uri="{FF2B5EF4-FFF2-40B4-BE49-F238E27FC236}">
              <a16:creationId xmlns:a16="http://schemas.microsoft.com/office/drawing/2014/main" id="{00000000-0008-0000-0300-000046000000}"/>
            </a:ext>
          </a:extLst>
        </xdr:cNvPr>
        <xdr:cNvSpPr>
          <a:spLocks noChangeArrowheads="1"/>
        </xdr:cNvSpPr>
      </xdr:nvSpPr>
      <xdr:spPr bwMode="auto">
        <a:xfrm>
          <a:off x="1482615" y="1012828"/>
          <a:ext cx="2585289" cy="291684"/>
        </a:xfrm>
        <a:prstGeom prst="rect">
          <a:avLst/>
        </a:prstGeom>
        <a:solidFill>
          <a:srgbClr val="FFFFFF">
            <a:lumMod val="95000"/>
          </a:srgbClr>
        </a:solidFill>
        <a:ln w="9525" algn="ctr">
          <a:solidFill>
            <a:srgbClr val="FFFFFF">
              <a:lumMod val="75000"/>
            </a:srgbClr>
          </a:solidFill>
          <a:miter lim="800000"/>
          <a:headEnd/>
          <a:tailEnd/>
        </a:ln>
        <a:effectLst>
          <a:outerShdw dist="53340" dir="2700000" algn="ctr" rotWithShape="0">
            <a:srgbClr val="19282F">
              <a:alpha val="8000"/>
            </a:srgbClr>
          </a:outerShdw>
        </a:effectLst>
      </xdr:spPr>
      <xdr:txBody>
        <a:bodyPr vert="horz" wrap="square" lIns="0" tIns="0" rIns="0" bIns="0" numCol="1" anchor="ctr" anchorCtr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ES" sz="882" b="1" i="0" u="none" strike="noStrike" kern="0" cap="none" spc="0" normalizeH="0" baseline="0" noProof="0">
              <a:ln>
                <a:noFill/>
              </a:ln>
              <a:solidFill>
                <a:srgbClr val="002960"/>
              </a:solidFill>
              <a:effectLst/>
              <a:uLnTx/>
              <a:uFillTx/>
              <a:latin typeface="Arial" charset="0"/>
              <a:ea typeface="+mn-ea"/>
              <a:cs typeface="Arial" pitchFamily="34" charset="0"/>
            </a:rPr>
            <a:t>Aumentar el tiempo disponible de trabajo de las cuadrillas </a:t>
          </a:r>
        </a:p>
      </xdr:txBody>
    </xdr:sp>
    <xdr:clientData/>
  </xdr:twoCellAnchor>
  <xdr:twoCellAnchor>
    <xdr:from>
      <xdr:col>10</xdr:col>
      <xdr:colOff>333426</xdr:colOff>
      <xdr:row>9</xdr:row>
      <xdr:rowOff>90667</xdr:rowOff>
    </xdr:from>
    <xdr:to>
      <xdr:col>12</xdr:col>
      <xdr:colOff>176190</xdr:colOff>
      <xdr:row>11</xdr:row>
      <xdr:rowOff>127808</xdr:rowOff>
    </xdr:to>
    <xdr:sp macro="" textlink="">
      <xdr:nvSpPr>
        <xdr:cNvPr id="131" name="Rounded Rectangle 104">
          <a:extLst>
            <a:ext uri="{FF2B5EF4-FFF2-40B4-BE49-F238E27FC236}">
              <a16:creationId xmlns:a16="http://schemas.microsoft.com/office/drawing/2014/main" id="{00000000-0008-0000-0300-000048000000}"/>
            </a:ext>
          </a:extLst>
        </xdr:cNvPr>
        <xdr:cNvSpPr>
          <a:spLocks/>
        </xdr:cNvSpPr>
      </xdr:nvSpPr>
      <xdr:spPr>
        <a:xfrm>
          <a:off x="8747176" y="1948042"/>
          <a:ext cx="1525514" cy="449891"/>
        </a:xfrm>
        <a:prstGeom prst="roundRect">
          <a:avLst/>
        </a:prstGeom>
        <a:solidFill>
          <a:sysClr val="window" lastClr="FFFFFF"/>
        </a:solidFill>
        <a:ln w="9525">
          <a:solidFill>
            <a:sysClr val="window" lastClr="FFFFFF">
              <a:lumMod val="85000"/>
            </a:sysClr>
          </a:solidFill>
          <a:miter lim="800000"/>
          <a:headEnd/>
          <a:tailEnd/>
        </a:ln>
        <a:effectLst/>
      </xdr:spPr>
      <xdr:txBody>
        <a:bodyPr wrap="square" lIns="0" tIns="0" rIns="0" bIns="0" anchor="ctr"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ctr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0" lang="es-CO" sz="1200" b="1" i="0" u="none" strike="noStrike" kern="120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ctr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0" lang="es-CO" sz="1200" b="1" i="0" u="none" strike="noStrike" kern="120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ctr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200" b="1" i="0" u="none" strike="noStrike" kern="120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TA  :   8:10</a:t>
          </a:r>
        </a:p>
        <a:p>
          <a:pPr marL="0" marR="0" lvl="0" indent="0" algn="ctr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200" b="1" i="0" u="none" strike="noStrike" kern="120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TB : 20:10</a:t>
          </a:r>
          <a:endParaRPr kumimoji="0" lang="es-CL" sz="1200" b="0" i="0" u="none" strike="noStrike" kern="120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ctr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0" lang="es-CO" sz="1200" b="1" i="0" u="none" strike="noStrike" kern="120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ctr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0" lang="es-CO" sz="1200" b="1" i="0" u="none" strike="noStrike" kern="120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155900</xdr:colOff>
      <xdr:row>12</xdr:row>
      <xdr:rowOff>134971</xdr:rowOff>
    </xdr:from>
    <xdr:to>
      <xdr:col>1</xdr:col>
      <xdr:colOff>639358</xdr:colOff>
      <xdr:row>14</xdr:row>
      <xdr:rowOff>165487</xdr:rowOff>
    </xdr:to>
    <xdr:sp macro="" textlink="">
      <xdr:nvSpPr>
        <xdr:cNvPr id="133" name="Oval 144">
          <a:extLst>
            <a:ext uri="{FF2B5EF4-FFF2-40B4-BE49-F238E27FC236}">
              <a16:creationId xmlns:a16="http://schemas.microsoft.com/office/drawing/2014/main" id="{00000000-0008-0000-0300-00004A000000}"/>
            </a:ext>
          </a:extLst>
        </xdr:cNvPr>
        <xdr:cNvSpPr>
          <a:spLocks/>
        </xdr:cNvSpPr>
      </xdr:nvSpPr>
      <xdr:spPr>
        <a:xfrm>
          <a:off x="997275" y="2611471"/>
          <a:ext cx="483458" cy="443266"/>
        </a:xfrm>
        <a:prstGeom prst="ellipse">
          <a:avLst/>
        </a:prstGeom>
        <a:solidFill>
          <a:srgbClr val="44546A"/>
        </a:solidFill>
        <a:ln w="9525" cap="flat" cmpd="sng" algn="ctr">
          <a:noFill/>
          <a:prstDash val="solid"/>
          <a:miter lim="800000"/>
        </a:ln>
        <a:effectLst>
          <a:glow>
            <a:srgbClr val="5B9BD5">
              <a:alpha val="40000"/>
            </a:srgbClr>
          </a:glow>
          <a:outerShdw blurRad="101600" sx="64000" sy="64000" rotWithShape="0">
            <a:sysClr val="windowText" lastClr="000000"/>
          </a:outerShdw>
        </a:effectLst>
        <a:scene3d>
          <a:camera prst="orthographicFront"/>
          <a:lightRig rig="balanced" dir="t">
            <a:rot lat="0" lon="0" rev="7800000"/>
          </a:lightRig>
        </a:scene3d>
        <a:sp3d>
          <a:bevelT w="254000" h="31750"/>
          <a:bevelB w="0" h="38100"/>
          <a:extrusionClr>
            <a:srgbClr val="E7E6E6"/>
          </a:extrusionClr>
          <a:contourClr>
            <a:srgbClr val="A5A5A5"/>
          </a:contourClr>
        </a:sp3d>
      </xdr:spPr>
      <xdr:txBody>
        <a:bodyPr wrap="square" lIns="0" tIns="0" rIns="0" bIns="0" rtlCol="0" anchor="ctr"/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764" b="1" i="0" u="none" strike="noStrike" kern="1200" cap="none" spc="0" normalizeH="0" baseline="0" noProof="0">
              <a:ln>
                <a:noFill/>
              </a:ln>
              <a:solidFill>
                <a:srgbClr val="FFFFFF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3</a:t>
          </a:r>
        </a:p>
      </xdr:txBody>
    </xdr:sp>
    <xdr:clientData/>
  </xdr:twoCellAnchor>
  <xdr:twoCellAnchor>
    <xdr:from>
      <xdr:col>1</xdr:col>
      <xdr:colOff>111125</xdr:colOff>
      <xdr:row>27</xdr:row>
      <xdr:rowOff>28238</xdr:rowOff>
    </xdr:from>
    <xdr:to>
      <xdr:col>12</xdr:col>
      <xdr:colOff>254000</xdr:colOff>
      <xdr:row>30</xdr:row>
      <xdr:rowOff>50204</xdr:rowOff>
    </xdr:to>
    <xdr:sp macro="" textlink="">
      <xdr:nvSpPr>
        <xdr:cNvPr id="134" name="Rectangle 153">
          <a:extLst>
            <a:ext uri="{FF2B5EF4-FFF2-40B4-BE49-F238E27FC236}">
              <a16:creationId xmlns:a16="http://schemas.microsoft.com/office/drawing/2014/main" id="{00000000-0008-0000-0300-00004B000000}"/>
            </a:ext>
          </a:extLst>
        </xdr:cNvPr>
        <xdr:cNvSpPr/>
      </xdr:nvSpPr>
      <xdr:spPr>
        <a:xfrm>
          <a:off x="962025" y="5514638"/>
          <a:ext cx="9502775" cy="631566"/>
        </a:xfrm>
        <a:prstGeom prst="rect">
          <a:avLst/>
        </a:prstGeom>
        <a:solidFill>
          <a:sysClr val="window" lastClr="FFFFFF"/>
        </a:solidFill>
        <a:ln w="9525">
          <a:solidFill>
            <a:sysClr val="window" lastClr="FFFFFF">
              <a:lumMod val="85000"/>
            </a:sysClr>
          </a:solidFill>
          <a:miter lim="800000"/>
          <a:headEnd/>
          <a:tailEnd/>
        </a:ln>
        <a:effectLst/>
      </xdr:spPr>
      <xdr:txBody>
        <a:bodyPr wrap="square" lIns="63833" tIns="31917" rIns="63833" bIns="31917" anchor="ctr"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l" defTabSz="858370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>
              <a:srgbClr val="1F497D"/>
            </a:buClr>
            <a:buSzTx/>
            <a:buFontTx/>
            <a:buNone/>
            <a:tabLst/>
            <a:defRPr/>
          </a:pPr>
          <a:r>
            <a:rPr kumimoji="0" lang="es-ES_tradnl" sz="1200" b="1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charset="0"/>
              <a:ea typeface="+mn-ea"/>
              <a:cs typeface="Arial" charset="0"/>
            </a:rPr>
            <a:t>             </a:t>
          </a:r>
          <a:endParaRPr kumimoji="0" lang="es-ES_tradnl" sz="1078" b="0" i="0" u="none" strike="noStrike" kern="120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203825</xdr:colOff>
      <xdr:row>1</xdr:row>
      <xdr:rowOff>165858</xdr:rowOff>
    </xdr:from>
    <xdr:to>
      <xdr:col>1</xdr:col>
      <xdr:colOff>521693</xdr:colOff>
      <xdr:row>3</xdr:row>
      <xdr:rowOff>61056</xdr:rowOff>
    </xdr:to>
    <xdr:sp macro="" textlink="">
      <xdr:nvSpPr>
        <xdr:cNvPr id="136" name="AutoShape 4" descr="Resultado de imagen para check list">
          <a:extLst>
            <a:ext uri="{FF2B5EF4-FFF2-40B4-BE49-F238E27FC236}">
              <a16:creationId xmlns:a16="http://schemas.microsoft.com/office/drawing/2014/main" id="{00000000-0008-0000-0300-00004D000000}"/>
            </a:ext>
          </a:extLst>
        </xdr:cNvPr>
        <xdr:cNvSpPr>
          <a:spLocks noChangeAspect="1" noChangeArrowheads="1"/>
        </xdr:cNvSpPr>
      </xdr:nvSpPr>
      <xdr:spPr bwMode="auto">
        <a:xfrm>
          <a:off x="1045200" y="372233"/>
          <a:ext cx="317868" cy="3079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vert="horz" wrap="square" lIns="89614" tIns="44807" rIns="89614" bIns="44807" numCol="1" anchor="t" anchorCtr="0" compatLnSpc="1">
          <a:prstTxWarp prst="textNoShape">
            <a:avLst/>
          </a:prstTxWarp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l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0" lang="es-CL" sz="1568" b="0" i="0" u="none" strike="noStrike" kern="120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362758</xdr:colOff>
      <xdr:row>2</xdr:row>
      <xdr:rowOff>113457</xdr:rowOff>
    </xdr:from>
    <xdr:to>
      <xdr:col>1</xdr:col>
      <xdr:colOff>680626</xdr:colOff>
      <xdr:row>4</xdr:row>
      <xdr:rowOff>8655</xdr:rowOff>
    </xdr:to>
    <xdr:sp macro="" textlink="">
      <xdr:nvSpPr>
        <xdr:cNvPr id="137" name="AutoShape 6" descr="Resultado de imagen para check list">
          <a:extLst>
            <a:ext uri="{FF2B5EF4-FFF2-40B4-BE49-F238E27FC236}">
              <a16:creationId xmlns:a16="http://schemas.microsoft.com/office/drawing/2014/main" id="{00000000-0008-0000-0300-00004E000000}"/>
            </a:ext>
          </a:extLst>
        </xdr:cNvPr>
        <xdr:cNvSpPr>
          <a:spLocks noChangeAspect="1" noChangeArrowheads="1"/>
        </xdr:cNvSpPr>
      </xdr:nvSpPr>
      <xdr:spPr bwMode="auto">
        <a:xfrm>
          <a:off x="1204133" y="526207"/>
          <a:ext cx="317868" cy="3079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vert="horz" wrap="square" lIns="89614" tIns="44807" rIns="89614" bIns="44807" numCol="1" anchor="t" anchorCtr="0" compatLnSpc="1">
          <a:prstTxWarp prst="textNoShape">
            <a:avLst/>
          </a:prstTxWarp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l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0" lang="es-CL" sz="1568" b="0" i="0" u="none" strike="noStrike" kern="120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143690</xdr:colOff>
      <xdr:row>23</xdr:row>
      <xdr:rowOff>64035</xdr:rowOff>
    </xdr:from>
    <xdr:to>
      <xdr:col>12</xdr:col>
      <xdr:colOff>280591</xdr:colOff>
      <xdr:row>26</xdr:row>
      <xdr:rowOff>116168</xdr:rowOff>
    </xdr:to>
    <xdr:sp macro="" textlink="">
      <xdr:nvSpPr>
        <xdr:cNvPr id="138" name="Rectangle 153">
          <a:extLst>
            <a:ext uri="{FF2B5EF4-FFF2-40B4-BE49-F238E27FC236}">
              <a16:creationId xmlns:a16="http://schemas.microsoft.com/office/drawing/2014/main" id="{00000000-0008-0000-0300-00004F000000}"/>
            </a:ext>
          </a:extLst>
        </xdr:cNvPr>
        <xdr:cNvSpPr/>
      </xdr:nvSpPr>
      <xdr:spPr>
        <a:xfrm>
          <a:off x="994590" y="4737635"/>
          <a:ext cx="9496801" cy="661733"/>
        </a:xfrm>
        <a:prstGeom prst="rect">
          <a:avLst/>
        </a:prstGeom>
        <a:solidFill>
          <a:sysClr val="window" lastClr="FFFFFF"/>
        </a:solidFill>
        <a:ln w="9525">
          <a:solidFill>
            <a:sysClr val="window" lastClr="FFFFFF">
              <a:lumMod val="85000"/>
            </a:sysClr>
          </a:solidFill>
          <a:miter lim="800000"/>
          <a:headEnd/>
          <a:tailEnd/>
        </a:ln>
        <a:effectLst/>
      </xdr:spPr>
      <xdr:txBody>
        <a:bodyPr wrap="square" lIns="63833" tIns="31917" rIns="63833" bIns="31917" anchor="ctr"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457200" marR="0" lvl="1" indent="0" algn="l" defTabSz="858370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>
              <a:srgbClr val="1F497D"/>
            </a:buClr>
            <a:buSzTx/>
            <a:buFontTx/>
            <a:buNone/>
            <a:tabLst/>
            <a:defRPr/>
          </a:pPr>
          <a:endParaRPr kumimoji="0" lang="es-ES" sz="1078" b="0" i="0" u="none" strike="noStrike" kern="120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Arial" charset="0"/>
            <a:ea typeface="+mn-ea"/>
            <a:cs typeface="Arial" charset="0"/>
          </a:endParaRPr>
        </a:p>
      </xdr:txBody>
    </xdr:sp>
    <xdr:clientData/>
  </xdr:twoCellAnchor>
  <xdr:twoCellAnchor>
    <xdr:from>
      <xdr:col>1</xdr:col>
      <xdr:colOff>87732</xdr:colOff>
      <xdr:row>16</xdr:row>
      <xdr:rowOff>6614</xdr:rowOff>
    </xdr:from>
    <xdr:to>
      <xdr:col>12</xdr:col>
      <xdr:colOff>213128</xdr:colOff>
      <xdr:row>19</xdr:row>
      <xdr:rowOff>72720</xdr:rowOff>
    </xdr:to>
    <xdr:sp macro="" textlink="">
      <xdr:nvSpPr>
        <xdr:cNvPr id="139" name="Rectangle 153">
          <a:extLst>
            <a:ext uri="{FF2B5EF4-FFF2-40B4-BE49-F238E27FC236}">
              <a16:creationId xmlns:a16="http://schemas.microsoft.com/office/drawing/2014/main" id="{00000000-0008-0000-0300-000051000000}"/>
            </a:ext>
          </a:extLst>
        </xdr:cNvPr>
        <xdr:cNvSpPr/>
      </xdr:nvSpPr>
      <xdr:spPr>
        <a:xfrm>
          <a:off x="938632" y="3257814"/>
          <a:ext cx="9485296" cy="675706"/>
        </a:xfrm>
        <a:prstGeom prst="rect">
          <a:avLst/>
        </a:prstGeom>
        <a:solidFill>
          <a:sysClr val="window" lastClr="FFFFFF"/>
        </a:solidFill>
        <a:ln w="9525">
          <a:solidFill>
            <a:sysClr val="window" lastClr="FFFFFF">
              <a:lumMod val="85000"/>
            </a:sysClr>
          </a:solidFill>
          <a:miter lim="800000"/>
          <a:headEnd/>
          <a:tailEnd/>
        </a:ln>
        <a:effectLst/>
      </xdr:spPr>
      <xdr:txBody>
        <a:bodyPr wrap="square" lIns="63833" tIns="31917" rIns="63833" bIns="31917" anchor="ctr"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457200" marR="0" lvl="1" indent="0" algn="l" defTabSz="858370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>
              <a:srgbClr val="1F497D"/>
            </a:buClr>
            <a:buSzTx/>
            <a:buFontTx/>
            <a:buNone/>
            <a:tabLst/>
            <a:defRPr/>
          </a:pPr>
          <a:r>
            <a:rPr kumimoji="0" lang="es-ES_tradnl" sz="1200" b="1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charset="0"/>
              <a:ea typeface="+mn-ea"/>
              <a:cs typeface="Arial" charset="0"/>
            </a:rPr>
            <a:t>  Traslado al almuerzo (Casino  Tte7) </a:t>
          </a:r>
          <a:r>
            <a:rPr kumimoji="0" lang="es-ES_tradnl" sz="1200" b="0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charset="0"/>
              <a:ea typeface="+mn-ea"/>
              <a:cs typeface="Arial" charset="0"/>
            </a:rPr>
            <a:t>Personal se traslada de instalación de faena a casino.</a:t>
          </a:r>
          <a:endParaRPr kumimoji="0" lang="es-ES_tradnl" sz="1200" b="1" i="0" u="none" strike="noStrike" kern="120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Arial" charset="0"/>
            <a:ea typeface="+mn-ea"/>
            <a:cs typeface="Arial" charset="0"/>
          </a:endParaRPr>
        </a:p>
        <a:p>
          <a:pPr marL="457200" marR="0" lvl="1" indent="0" algn="l" defTabSz="858370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>
              <a:srgbClr val="1F497D"/>
            </a:buClr>
            <a:buSzTx/>
            <a:buFontTx/>
            <a:buNone/>
            <a:tabLst/>
            <a:defRPr/>
          </a:pPr>
          <a:r>
            <a:rPr kumimoji="0" lang="es-ES" sz="1080" b="0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charset="0"/>
              <a:ea typeface="+mn-ea"/>
              <a:cs typeface="Arial" charset="0"/>
            </a:rPr>
            <a:t>.</a:t>
          </a:r>
        </a:p>
      </xdr:txBody>
    </xdr:sp>
    <xdr:clientData/>
  </xdr:twoCellAnchor>
  <xdr:twoCellAnchor>
    <xdr:from>
      <xdr:col>1</xdr:col>
      <xdr:colOff>151445</xdr:colOff>
      <xdr:row>23</xdr:row>
      <xdr:rowOff>182915</xdr:rowOff>
    </xdr:from>
    <xdr:to>
      <xdr:col>1</xdr:col>
      <xdr:colOff>656680</xdr:colOff>
      <xdr:row>26</xdr:row>
      <xdr:rowOff>10231</xdr:rowOff>
    </xdr:to>
    <xdr:sp macro="" textlink="">
      <xdr:nvSpPr>
        <xdr:cNvPr id="140" name="Oval 144">
          <a:extLst>
            <a:ext uri="{FF2B5EF4-FFF2-40B4-BE49-F238E27FC236}">
              <a16:creationId xmlns:a16="http://schemas.microsoft.com/office/drawing/2014/main" id="{00000000-0008-0000-0300-000052000000}"/>
            </a:ext>
          </a:extLst>
        </xdr:cNvPr>
        <xdr:cNvSpPr>
          <a:spLocks/>
        </xdr:cNvSpPr>
      </xdr:nvSpPr>
      <xdr:spPr>
        <a:xfrm>
          <a:off x="1002345" y="4856515"/>
          <a:ext cx="505235" cy="436916"/>
        </a:xfrm>
        <a:prstGeom prst="ellipse">
          <a:avLst/>
        </a:prstGeom>
        <a:solidFill>
          <a:srgbClr val="44546A"/>
        </a:solidFill>
        <a:ln w="9525" cap="flat" cmpd="sng" algn="ctr">
          <a:noFill/>
          <a:prstDash val="solid"/>
          <a:miter lim="800000"/>
        </a:ln>
        <a:effectLst>
          <a:glow>
            <a:srgbClr val="5B9BD5">
              <a:alpha val="40000"/>
            </a:srgbClr>
          </a:glow>
          <a:outerShdw blurRad="101600" sx="64000" sy="64000" rotWithShape="0">
            <a:sysClr val="windowText" lastClr="000000"/>
          </a:outerShdw>
        </a:effectLst>
        <a:scene3d>
          <a:camera prst="orthographicFront"/>
          <a:lightRig rig="balanced" dir="t">
            <a:rot lat="0" lon="0" rev="7800000"/>
          </a:lightRig>
        </a:scene3d>
        <a:sp3d>
          <a:bevelT w="254000" h="31750"/>
          <a:bevelB w="0" h="38100"/>
          <a:extrusionClr>
            <a:srgbClr val="E7E6E6"/>
          </a:extrusionClr>
          <a:contourClr>
            <a:srgbClr val="A5A5A5"/>
          </a:contourClr>
        </a:sp3d>
      </xdr:spPr>
      <xdr:txBody>
        <a:bodyPr wrap="square" lIns="0" tIns="0" rIns="0" bIns="0" rtlCol="0" anchor="ctr"/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764" b="1" i="0" u="none" strike="noStrike" kern="1200" cap="none" spc="0" normalizeH="0" baseline="0" noProof="0">
              <a:ln>
                <a:noFill/>
              </a:ln>
              <a:solidFill>
                <a:srgbClr val="FFFFFF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6</a:t>
          </a:r>
        </a:p>
      </xdr:txBody>
    </xdr:sp>
    <xdr:clientData/>
  </xdr:twoCellAnchor>
  <xdr:twoCellAnchor>
    <xdr:from>
      <xdr:col>9</xdr:col>
      <xdr:colOff>732270</xdr:colOff>
      <xdr:row>9</xdr:row>
      <xdr:rowOff>92270</xdr:rowOff>
    </xdr:from>
    <xdr:to>
      <xdr:col>10</xdr:col>
      <xdr:colOff>228785</xdr:colOff>
      <xdr:row>11</xdr:row>
      <xdr:rowOff>188724</xdr:rowOff>
    </xdr:to>
    <xdr:pic>
      <xdr:nvPicPr>
        <xdr:cNvPr id="141" name="Picture 186">
          <a:extLst>
            <a:ext uri="{FF2B5EF4-FFF2-40B4-BE49-F238E27FC236}">
              <a16:creationId xmlns:a16="http://schemas.microsoft.com/office/drawing/2014/main" id="{00000000-0008-0000-03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8304645" y="1949645"/>
          <a:ext cx="337890" cy="509204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</xdr:pic>
    <xdr:clientData/>
  </xdr:twoCellAnchor>
  <xdr:twoCellAnchor>
    <xdr:from>
      <xdr:col>9</xdr:col>
      <xdr:colOff>156611</xdr:colOff>
      <xdr:row>9</xdr:row>
      <xdr:rowOff>11339</xdr:rowOff>
    </xdr:from>
    <xdr:to>
      <xdr:col>9</xdr:col>
      <xdr:colOff>679950</xdr:colOff>
      <xdr:row>11</xdr:row>
      <xdr:rowOff>180535</xdr:rowOff>
    </xdr:to>
    <xdr:pic>
      <xdr:nvPicPr>
        <xdr:cNvPr id="142" name="Picture 1334">
          <a:extLst>
            <a:ext uri="{FF2B5EF4-FFF2-40B4-BE49-F238E27FC236}">
              <a16:creationId xmlns:a16="http://schemas.microsoft.com/office/drawing/2014/main" id="{00000000-0008-0000-03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7728986" y="1868714"/>
          <a:ext cx="523339" cy="581946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</xdr:pic>
    <xdr:clientData/>
  </xdr:twoCellAnchor>
  <xdr:twoCellAnchor>
    <xdr:from>
      <xdr:col>10</xdr:col>
      <xdr:colOff>316113</xdr:colOff>
      <xdr:row>12</xdr:row>
      <xdr:rowOff>92289</xdr:rowOff>
    </xdr:from>
    <xdr:to>
      <xdr:col>12</xdr:col>
      <xdr:colOff>158877</xdr:colOff>
      <xdr:row>14</xdr:row>
      <xdr:rowOff>202007</xdr:rowOff>
    </xdr:to>
    <xdr:sp macro="" textlink="">
      <xdr:nvSpPr>
        <xdr:cNvPr id="143" name="Rounded Rectangle 104">
          <a:extLst>
            <a:ext uri="{FF2B5EF4-FFF2-40B4-BE49-F238E27FC236}">
              <a16:creationId xmlns:a16="http://schemas.microsoft.com/office/drawing/2014/main" id="{00000000-0008-0000-0300-000055000000}"/>
            </a:ext>
          </a:extLst>
        </xdr:cNvPr>
        <xdr:cNvSpPr>
          <a:spLocks/>
        </xdr:cNvSpPr>
      </xdr:nvSpPr>
      <xdr:spPr>
        <a:xfrm>
          <a:off x="8729863" y="2568789"/>
          <a:ext cx="1525514" cy="522468"/>
        </a:xfrm>
        <a:prstGeom prst="roundRect">
          <a:avLst/>
        </a:prstGeom>
        <a:solidFill>
          <a:sysClr val="window" lastClr="FFFFFF"/>
        </a:solidFill>
        <a:ln w="9525">
          <a:solidFill>
            <a:sysClr val="window" lastClr="FFFFFF">
              <a:lumMod val="85000"/>
            </a:sysClr>
          </a:solidFill>
          <a:miter lim="800000"/>
          <a:headEnd/>
          <a:tailEnd/>
        </a:ln>
        <a:effectLst/>
      </xdr:spPr>
      <xdr:txBody>
        <a:bodyPr wrap="square" lIns="0" tIns="0" rIns="0" bIns="0" anchor="ctr"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ctr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0" lang="es-CO" sz="1200" b="1" i="0" u="none" strike="noStrike" kern="120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200" b="1" i="0" u="none" strike="noStrike" kern="120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        TA  :   8:30</a:t>
          </a:r>
          <a:endParaRPr kumimoji="0" lang="es-CL" sz="1200" b="0" i="0" u="none" strike="noStrike" kern="120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200" b="1" i="0" u="none" strike="noStrike" kern="120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        TB : 20:40</a:t>
          </a:r>
          <a:endParaRPr kumimoji="0" lang="es-CL" sz="1200" b="0" i="0" u="none" strike="noStrike" kern="120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ctr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0" lang="es-CO" sz="1200" b="1" i="0" u="none" strike="noStrike" kern="120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683005</xdr:colOff>
      <xdr:row>12</xdr:row>
      <xdr:rowOff>103062</xdr:rowOff>
    </xdr:from>
    <xdr:to>
      <xdr:col>9</xdr:col>
      <xdr:colOff>141977</xdr:colOff>
      <xdr:row>14</xdr:row>
      <xdr:rowOff>144452</xdr:rowOff>
    </xdr:to>
    <xdr:pic>
      <xdr:nvPicPr>
        <xdr:cNvPr id="144" name="Picture 186">
          <a:extLst>
            <a:ext uri="{FF2B5EF4-FFF2-40B4-BE49-F238E27FC236}">
              <a16:creationId xmlns:a16="http://schemas.microsoft.com/office/drawing/2014/main" id="{00000000-0008-0000-03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7414005" y="2579562"/>
          <a:ext cx="300347" cy="45414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</xdr:pic>
    <xdr:clientData/>
  </xdr:twoCellAnchor>
  <xdr:twoCellAnchor>
    <xdr:from>
      <xdr:col>9</xdr:col>
      <xdr:colOff>129471</xdr:colOff>
      <xdr:row>12</xdr:row>
      <xdr:rowOff>75089</xdr:rowOff>
    </xdr:from>
    <xdr:to>
      <xdr:col>9</xdr:col>
      <xdr:colOff>429818</xdr:colOff>
      <xdr:row>14</xdr:row>
      <xdr:rowOff>114833</xdr:rowOff>
    </xdr:to>
    <xdr:pic>
      <xdr:nvPicPr>
        <xdr:cNvPr id="145" name="Picture 186">
          <a:extLst>
            <a:ext uri="{FF2B5EF4-FFF2-40B4-BE49-F238E27FC236}">
              <a16:creationId xmlns:a16="http://schemas.microsoft.com/office/drawing/2014/main" id="{00000000-0008-0000-03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7701846" y="2551589"/>
          <a:ext cx="300347" cy="452494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</xdr:pic>
    <xdr:clientData/>
  </xdr:twoCellAnchor>
  <xdr:twoCellAnchor>
    <xdr:from>
      <xdr:col>9</xdr:col>
      <xdr:colOff>226410</xdr:colOff>
      <xdr:row>13</xdr:row>
      <xdr:rowOff>35112</xdr:rowOff>
    </xdr:from>
    <xdr:to>
      <xdr:col>9</xdr:col>
      <xdr:colOff>526757</xdr:colOff>
      <xdr:row>15</xdr:row>
      <xdr:rowOff>76502</xdr:rowOff>
    </xdr:to>
    <xdr:pic>
      <xdr:nvPicPr>
        <xdr:cNvPr id="146" name="Picture 186">
          <a:extLst>
            <a:ext uri="{FF2B5EF4-FFF2-40B4-BE49-F238E27FC236}">
              <a16:creationId xmlns:a16="http://schemas.microsoft.com/office/drawing/2014/main" id="{00000000-0008-0000-03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7798785" y="2717987"/>
          <a:ext cx="300347" cy="45414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</xdr:pic>
    <xdr:clientData/>
  </xdr:twoCellAnchor>
  <xdr:twoCellAnchor>
    <xdr:from>
      <xdr:col>9</xdr:col>
      <xdr:colOff>433456</xdr:colOff>
      <xdr:row>12</xdr:row>
      <xdr:rowOff>97425</xdr:rowOff>
    </xdr:from>
    <xdr:to>
      <xdr:col>9</xdr:col>
      <xdr:colOff>733803</xdr:colOff>
      <xdr:row>14</xdr:row>
      <xdr:rowOff>137169</xdr:rowOff>
    </xdr:to>
    <xdr:pic>
      <xdr:nvPicPr>
        <xdr:cNvPr id="147" name="Picture 186">
          <a:extLst>
            <a:ext uri="{FF2B5EF4-FFF2-40B4-BE49-F238E27FC236}">
              <a16:creationId xmlns:a16="http://schemas.microsoft.com/office/drawing/2014/main" id="{00000000-0008-0000-03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8091556" y="2535825"/>
          <a:ext cx="300347" cy="446144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</xdr:pic>
    <xdr:clientData/>
  </xdr:twoCellAnchor>
  <xdr:twoCellAnchor>
    <xdr:from>
      <xdr:col>9</xdr:col>
      <xdr:colOff>614477</xdr:colOff>
      <xdr:row>12</xdr:row>
      <xdr:rowOff>147028</xdr:rowOff>
    </xdr:from>
    <xdr:to>
      <xdr:col>10</xdr:col>
      <xdr:colOff>73449</xdr:colOff>
      <xdr:row>15</xdr:row>
      <xdr:rowOff>24088</xdr:rowOff>
    </xdr:to>
    <xdr:pic>
      <xdr:nvPicPr>
        <xdr:cNvPr id="148" name="Picture 186">
          <a:extLst>
            <a:ext uri="{FF2B5EF4-FFF2-40B4-BE49-F238E27FC236}">
              <a16:creationId xmlns:a16="http://schemas.microsoft.com/office/drawing/2014/main" id="{00000000-0008-0000-03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8186852" y="2623528"/>
          <a:ext cx="300347" cy="496185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</xdr:pic>
    <xdr:clientData/>
  </xdr:twoCellAnchor>
  <xdr:twoCellAnchor>
    <xdr:from>
      <xdr:col>10</xdr:col>
      <xdr:colOff>429359</xdr:colOff>
      <xdr:row>27</xdr:row>
      <xdr:rowOff>114993</xdr:rowOff>
    </xdr:from>
    <xdr:to>
      <xdr:col>12</xdr:col>
      <xdr:colOff>272123</xdr:colOff>
      <xdr:row>29</xdr:row>
      <xdr:rowOff>179692</xdr:rowOff>
    </xdr:to>
    <xdr:sp macro="" textlink="">
      <xdr:nvSpPr>
        <xdr:cNvPr id="150" name="Rounded Rectangle 104">
          <a:extLst>
            <a:ext uri="{FF2B5EF4-FFF2-40B4-BE49-F238E27FC236}">
              <a16:creationId xmlns:a16="http://schemas.microsoft.com/office/drawing/2014/main" id="{00000000-0008-0000-0300-00005C000000}"/>
            </a:ext>
          </a:extLst>
        </xdr:cNvPr>
        <xdr:cNvSpPr>
          <a:spLocks/>
        </xdr:cNvSpPr>
      </xdr:nvSpPr>
      <xdr:spPr>
        <a:xfrm>
          <a:off x="8938359" y="5601393"/>
          <a:ext cx="1544564" cy="471099"/>
        </a:xfrm>
        <a:prstGeom prst="roundRect">
          <a:avLst/>
        </a:prstGeom>
        <a:solidFill>
          <a:sysClr val="window" lastClr="FFFFFF"/>
        </a:solidFill>
        <a:ln w="9525">
          <a:solidFill>
            <a:sysClr val="window" lastClr="FFFFFF">
              <a:lumMod val="85000"/>
            </a:sysClr>
          </a:solidFill>
          <a:miter lim="800000"/>
          <a:headEnd/>
          <a:tailEnd/>
        </a:ln>
        <a:effectLst/>
      </xdr:spPr>
      <xdr:txBody>
        <a:bodyPr wrap="square" lIns="0" tIns="0" rIns="0" bIns="0" anchor="ctr"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ctr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0" lang="es-CO" sz="1200" b="1" i="0" u="none" strike="noStrike" kern="120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200" b="1" i="0" u="none" strike="noStrike" kern="120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     TA  :   19:40</a:t>
          </a:r>
          <a:endParaRPr kumimoji="0" lang="es-CL" sz="1200" b="0" i="0" u="none" strike="noStrike" kern="120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200" b="1" i="0" u="none" strike="noStrike" kern="120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     TB :    07:40</a:t>
          </a:r>
          <a:endParaRPr kumimoji="0" lang="es-CL" sz="1200" b="0" i="0" u="none" strike="noStrike" kern="120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ctr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0" lang="es-CO" sz="1200" b="1" i="0" u="none" strike="noStrike" kern="120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353493</xdr:colOff>
      <xdr:row>23</xdr:row>
      <xdr:rowOff>173542</xdr:rowOff>
    </xdr:from>
    <xdr:to>
      <xdr:col>12</xdr:col>
      <xdr:colOff>117722</xdr:colOff>
      <xdr:row>26</xdr:row>
      <xdr:rowOff>49949</xdr:rowOff>
    </xdr:to>
    <xdr:sp macro="" textlink="">
      <xdr:nvSpPr>
        <xdr:cNvPr id="151" name="Rounded Rectangle 104">
          <a:extLst>
            <a:ext uri="{FF2B5EF4-FFF2-40B4-BE49-F238E27FC236}">
              <a16:creationId xmlns:a16="http://schemas.microsoft.com/office/drawing/2014/main" id="{00000000-0008-0000-0300-00005D000000}"/>
            </a:ext>
          </a:extLst>
        </xdr:cNvPr>
        <xdr:cNvSpPr>
          <a:spLocks/>
        </xdr:cNvSpPr>
      </xdr:nvSpPr>
      <xdr:spPr>
        <a:xfrm>
          <a:off x="8862493" y="4847142"/>
          <a:ext cx="1466029" cy="486007"/>
        </a:xfrm>
        <a:prstGeom prst="roundRect">
          <a:avLst/>
        </a:prstGeom>
        <a:solidFill>
          <a:sysClr val="window" lastClr="FFFFFF"/>
        </a:solidFill>
        <a:ln w="9525">
          <a:solidFill>
            <a:sysClr val="window" lastClr="FFFFFF">
              <a:lumMod val="85000"/>
            </a:sysClr>
          </a:solidFill>
          <a:miter lim="800000"/>
          <a:headEnd/>
          <a:tailEnd/>
        </a:ln>
        <a:effectLst/>
      </xdr:spPr>
      <xdr:txBody>
        <a:bodyPr wrap="square" lIns="0" tIns="0" rIns="0" bIns="0" anchor="ctr"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200" b="1" i="0" u="none" strike="noStrike" kern="120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   TA  :   13:50</a:t>
          </a:r>
          <a:endParaRPr kumimoji="0" lang="es-CL" sz="1200" b="0" i="0" u="none" strike="noStrike" kern="120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200" b="1" i="0" u="none" strike="noStrike" kern="120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    TB :   01:50</a:t>
          </a:r>
          <a:endParaRPr kumimoji="0" lang="es-CL" sz="1200" b="0" i="0" u="none" strike="noStrike" kern="120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379170</xdr:colOff>
      <xdr:row>16</xdr:row>
      <xdr:rowOff>118864</xdr:rowOff>
    </xdr:from>
    <xdr:to>
      <xdr:col>12</xdr:col>
      <xdr:colOff>97705</xdr:colOff>
      <xdr:row>18</xdr:row>
      <xdr:rowOff>176619</xdr:rowOff>
    </xdr:to>
    <xdr:sp macro="" textlink="">
      <xdr:nvSpPr>
        <xdr:cNvPr id="152" name="Rounded Rectangle 104">
          <a:extLst>
            <a:ext uri="{FF2B5EF4-FFF2-40B4-BE49-F238E27FC236}">
              <a16:creationId xmlns:a16="http://schemas.microsoft.com/office/drawing/2014/main" id="{00000000-0008-0000-0300-00005E000000}"/>
            </a:ext>
          </a:extLst>
        </xdr:cNvPr>
        <xdr:cNvSpPr>
          <a:spLocks/>
        </xdr:cNvSpPr>
      </xdr:nvSpPr>
      <xdr:spPr>
        <a:xfrm>
          <a:off x="8888170" y="3370064"/>
          <a:ext cx="1420335" cy="464155"/>
        </a:xfrm>
        <a:prstGeom prst="roundRect">
          <a:avLst/>
        </a:prstGeom>
        <a:solidFill>
          <a:sysClr val="window" lastClr="FFFFFF"/>
        </a:solidFill>
        <a:ln w="9525">
          <a:solidFill>
            <a:sysClr val="window" lastClr="FFFFFF">
              <a:lumMod val="85000"/>
            </a:sysClr>
          </a:solidFill>
          <a:miter lim="800000"/>
          <a:headEnd/>
          <a:tailEnd/>
        </a:ln>
        <a:effectLst/>
      </xdr:spPr>
      <xdr:txBody>
        <a:bodyPr wrap="square" lIns="0" tIns="0" rIns="0" bIns="0" anchor="ctr"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ctr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0" lang="es-CO" sz="1200" b="1" i="0" u="none" strike="noStrike" kern="120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200" b="1" i="0" u="none" strike="noStrike" kern="120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     TA  :   12:50</a:t>
          </a:r>
          <a:endParaRPr kumimoji="0" lang="es-CL" sz="1200" b="0" i="0" u="none" strike="noStrike" kern="120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200" b="1" i="0" u="none" strike="noStrike" kern="120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     TB :   00:50</a:t>
          </a:r>
          <a:endParaRPr kumimoji="0" lang="es-CL" sz="1200" b="0" i="0" u="none" strike="noStrike" kern="120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ctr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0" lang="es-CO" sz="1200" b="1" i="0" u="none" strike="noStrike" kern="120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118230</xdr:colOff>
      <xdr:row>31</xdr:row>
      <xdr:rowOff>17753</xdr:rowOff>
    </xdr:from>
    <xdr:to>
      <xdr:col>12</xdr:col>
      <xdr:colOff>243626</xdr:colOff>
      <xdr:row>34</xdr:row>
      <xdr:rowOff>45186</xdr:rowOff>
    </xdr:to>
    <xdr:sp macro="" textlink="">
      <xdr:nvSpPr>
        <xdr:cNvPr id="153" name="Rectangle 153">
          <a:extLst>
            <a:ext uri="{FF2B5EF4-FFF2-40B4-BE49-F238E27FC236}">
              <a16:creationId xmlns:a16="http://schemas.microsoft.com/office/drawing/2014/main" id="{00000000-0008-0000-0300-00005F000000}"/>
            </a:ext>
          </a:extLst>
        </xdr:cNvPr>
        <xdr:cNvSpPr/>
      </xdr:nvSpPr>
      <xdr:spPr>
        <a:xfrm>
          <a:off x="969130" y="6316953"/>
          <a:ext cx="9485296" cy="637033"/>
        </a:xfrm>
        <a:prstGeom prst="rect">
          <a:avLst/>
        </a:prstGeom>
        <a:solidFill>
          <a:sysClr val="window" lastClr="FFFFFF"/>
        </a:solidFill>
        <a:ln w="9525">
          <a:solidFill>
            <a:sysClr val="window" lastClr="FFFFFF">
              <a:lumMod val="85000"/>
            </a:sysClr>
          </a:solidFill>
          <a:miter lim="800000"/>
          <a:headEnd/>
          <a:tailEnd/>
        </a:ln>
        <a:effectLst/>
      </xdr:spPr>
      <xdr:txBody>
        <a:bodyPr wrap="square" lIns="63833" tIns="31917" rIns="63833" bIns="31917" anchor="ctr"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457200" marR="0" lvl="1" indent="0" algn="l" defTabSz="858370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>
              <a:srgbClr val="1F497D"/>
            </a:buClr>
            <a:buSzTx/>
            <a:buFontTx/>
            <a:buNone/>
            <a:tabLst/>
            <a:defRPr/>
          </a:pPr>
          <a:r>
            <a:rPr kumimoji="0" lang="es-ES_tradnl" sz="1200" b="1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charset="0"/>
              <a:ea typeface="+mn-ea"/>
              <a:cs typeface="Arial" charset="0"/>
            </a:rPr>
            <a:t>  Fin de turno </a:t>
          </a:r>
        </a:p>
        <a:p>
          <a:pPr marL="457200" marR="0" lvl="1" indent="0" algn="l" defTabSz="858370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>
              <a:srgbClr val="1F497D"/>
            </a:buClr>
            <a:buSzTx/>
            <a:buFontTx/>
            <a:buNone/>
            <a:tabLst/>
            <a:defRPr/>
          </a:pPr>
          <a:r>
            <a:rPr kumimoji="0" lang="es-ES" sz="1078" b="0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charset="0"/>
              <a:ea typeface="+mn-ea"/>
              <a:cs typeface="Arial" charset="0"/>
            </a:rPr>
            <a:t>Operarios abandonan instalación de faena y se dirigen a tomar movilización. </a:t>
          </a:r>
        </a:p>
      </xdr:txBody>
    </xdr:sp>
    <xdr:clientData/>
  </xdr:twoCellAnchor>
  <xdr:twoCellAnchor>
    <xdr:from>
      <xdr:col>1</xdr:col>
      <xdr:colOff>116416</xdr:colOff>
      <xdr:row>31</xdr:row>
      <xdr:rowOff>117323</xdr:rowOff>
    </xdr:from>
    <xdr:to>
      <xdr:col>1</xdr:col>
      <xdr:colOff>621651</xdr:colOff>
      <xdr:row>33</xdr:row>
      <xdr:rowOff>144664</xdr:rowOff>
    </xdr:to>
    <xdr:sp macro="" textlink="">
      <xdr:nvSpPr>
        <xdr:cNvPr id="154" name="Oval 144">
          <a:extLst>
            <a:ext uri="{FF2B5EF4-FFF2-40B4-BE49-F238E27FC236}">
              <a16:creationId xmlns:a16="http://schemas.microsoft.com/office/drawing/2014/main" id="{00000000-0008-0000-0300-000060000000}"/>
            </a:ext>
          </a:extLst>
        </xdr:cNvPr>
        <xdr:cNvSpPr>
          <a:spLocks/>
        </xdr:cNvSpPr>
      </xdr:nvSpPr>
      <xdr:spPr>
        <a:xfrm>
          <a:off x="967316" y="6416523"/>
          <a:ext cx="505235" cy="433741"/>
        </a:xfrm>
        <a:prstGeom prst="ellipse">
          <a:avLst/>
        </a:prstGeom>
        <a:solidFill>
          <a:srgbClr val="44546A"/>
        </a:solidFill>
        <a:ln w="9525" cap="flat" cmpd="sng" algn="ctr">
          <a:noFill/>
          <a:prstDash val="solid"/>
          <a:miter lim="800000"/>
        </a:ln>
        <a:effectLst>
          <a:glow>
            <a:srgbClr val="5B9BD5">
              <a:alpha val="40000"/>
            </a:srgbClr>
          </a:glow>
          <a:outerShdw blurRad="101600" sx="64000" sy="64000" rotWithShape="0">
            <a:sysClr val="windowText" lastClr="000000"/>
          </a:outerShdw>
        </a:effectLst>
        <a:scene3d>
          <a:camera prst="orthographicFront"/>
          <a:lightRig rig="balanced" dir="t">
            <a:rot lat="0" lon="0" rev="7800000"/>
          </a:lightRig>
        </a:scene3d>
        <a:sp3d>
          <a:bevelT w="254000" h="31750"/>
          <a:bevelB w="0" h="38100"/>
          <a:extrusionClr>
            <a:srgbClr val="E7E6E6"/>
          </a:extrusionClr>
          <a:contourClr>
            <a:srgbClr val="A5A5A5"/>
          </a:contourClr>
        </a:sp3d>
      </xdr:spPr>
      <xdr:txBody>
        <a:bodyPr wrap="square" lIns="0" tIns="0" rIns="0" bIns="0" rtlCol="0" anchor="ctr"/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764" b="1" i="0" u="none" strike="noStrike" kern="1200" cap="none" spc="0" normalizeH="0" baseline="0" noProof="0">
              <a:ln>
                <a:noFill/>
              </a:ln>
              <a:solidFill>
                <a:srgbClr val="FFFFFF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8</a:t>
          </a:r>
        </a:p>
      </xdr:txBody>
    </xdr:sp>
    <xdr:clientData/>
  </xdr:twoCellAnchor>
  <xdr:twoCellAnchor>
    <xdr:from>
      <xdr:col>10</xdr:col>
      <xdr:colOff>358775</xdr:colOff>
      <xdr:row>31</xdr:row>
      <xdr:rowOff>75580</xdr:rowOff>
    </xdr:from>
    <xdr:to>
      <xdr:col>12</xdr:col>
      <xdr:colOff>172391</xdr:colOff>
      <xdr:row>33</xdr:row>
      <xdr:rowOff>172034</xdr:rowOff>
    </xdr:to>
    <xdr:sp macro="" textlink="">
      <xdr:nvSpPr>
        <xdr:cNvPr id="155" name="Rounded Rectangle 104">
          <a:extLst>
            <a:ext uri="{FF2B5EF4-FFF2-40B4-BE49-F238E27FC236}">
              <a16:creationId xmlns:a16="http://schemas.microsoft.com/office/drawing/2014/main" id="{00000000-0008-0000-0300-000061000000}"/>
            </a:ext>
          </a:extLst>
        </xdr:cNvPr>
        <xdr:cNvSpPr>
          <a:spLocks/>
        </xdr:cNvSpPr>
      </xdr:nvSpPr>
      <xdr:spPr>
        <a:xfrm>
          <a:off x="8321675" y="6276355"/>
          <a:ext cx="1528116" cy="496504"/>
        </a:xfrm>
        <a:prstGeom prst="roundRect">
          <a:avLst/>
        </a:prstGeom>
        <a:solidFill>
          <a:sysClr val="window" lastClr="FFFFFF"/>
        </a:solidFill>
        <a:ln w="9525">
          <a:solidFill>
            <a:sysClr val="window" lastClr="FFFFFF">
              <a:lumMod val="85000"/>
            </a:sysClr>
          </a:solidFill>
          <a:miter lim="800000"/>
          <a:headEnd/>
          <a:tailEnd/>
        </a:ln>
        <a:effectLst/>
      </xdr:spPr>
      <xdr:txBody>
        <a:bodyPr wrap="square" lIns="0" tIns="0" rIns="0" bIns="0" anchor="ctr"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ctr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0" lang="es-CO" sz="1200" b="1" i="0" u="none" strike="noStrike" kern="120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200" b="1" i="0" u="none" strike="noStrike" kern="120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    TA  :   20:00</a:t>
          </a:r>
          <a:endParaRPr kumimoji="0" lang="es-CL" sz="1200" b="0" i="0" u="none" strike="noStrike" kern="120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200" b="1" i="0" u="none" strike="noStrike" kern="120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     TB :   08:00</a:t>
          </a:r>
          <a:endParaRPr kumimoji="0" lang="es-CO" sz="1200" b="1" i="0" u="none" strike="noStrike" kern="120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ctr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0" lang="es-CO" sz="1200" b="1" i="0" u="none" strike="noStrike" kern="120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421656</xdr:colOff>
      <xdr:row>28</xdr:row>
      <xdr:rowOff>83640</xdr:rowOff>
    </xdr:from>
    <xdr:to>
      <xdr:col>10</xdr:col>
      <xdr:colOff>405474</xdr:colOff>
      <xdr:row>29</xdr:row>
      <xdr:rowOff>95250</xdr:rowOff>
    </xdr:to>
    <xdr:pic>
      <xdr:nvPicPr>
        <xdr:cNvPr id="157" name="Picture 1976">
          <a:extLst>
            <a:ext uri="{FF2B5EF4-FFF2-40B4-BE49-F238E27FC236}">
              <a16:creationId xmlns:a16="http://schemas.microsoft.com/office/drawing/2014/main" id="{00000000-0008-0000-0300-00006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H="1">
          <a:off x="8079756" y="5773240"/>
          <a:ext cx="834718" cy="214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384571</xdr:colOff>
      <xdr:row>16</xdr:row>
      <xdr:rowOff>32891</xdr:rowOff>
    </xdr:from>
    <xdr:to>
      <xdr:col>9</xdr:col>
      <xdr:colOff>722461</xdr:colOff>
      <xdr:row>18</xdr:row>
      <xdr:rowOff>129345</xdr:rowOff>
    </xdr:to>
    <xdr:pic>
      <xdr:nvPicPr>
        <xdr:cNvPr id="158" name="Picture 186">
          <a:extLst>
            <a:ext uri="{FF2B5EF4-FFF2-40B4-BE49-F238E27FC236}">
              <a16:creationId xmlns:a16="http://schemas.microsoft.com/office/drawing/2014/main" id="{00000000-0008-0000-0300-00006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8042671" y="3284091"/>
          <a:ext cx="337890" cy="502854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</xdr:pic>
    <xdr:clientData/>
  </xdr:twoCellAnchor>
  <xdr:twoCellAnchor>
    <xdr:from>
      <xdr:col>9</xdr:col>
      <xdr:colOff>505024</xdr:colOff>
      <xdr:row>23</xdr:row>
      <xdr:rowOff>184595</xdr:rowOff>
    </xdr:from>
    <xdr:to>
      <xdr:col>10</xdr:col>
      <xdr:colOff>162241</xdr:colOff>
      <xdr:row>26</xdr:row>
      <xdr:rowOff>65474</xdr:rowOff>
    </xdr:to>
    <xdr:pic>
      <xdr:nvPicPr>
        <xdr:cNvPr id="159" name="Picture 2">
          <a:extLst>
            <a:ext uri="{FF2B5EF4-FFF2-40B4-BE49-F238E27FC236}">
              <a16:creationId xmlns:a16="http://schemas.microsoft.com/office/drawing/2014/main" id="{00000000-0008-0000-0300-00006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65" t="39935" r="74018" b="14480"/>
        <a:stretch/>
      </xdr:blipFill>
      <xdr:spPr bwMode="auto">
        <a:xfrm>
          <a:off x="8163124" y="4858195"/>
          <a:ext cx="508117" cy="490479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>
    <xdr:from>
      <xdr:col>9</xdr:col>
      <xdr:colOff>422245</xdr:colOff>
      <xdr:row>31</xdr:row>
      <xdr:rowOff>70982</xdr:rowOff>
    </xdr:from>
    <xdr:to>
      <xdr:col>9</xdr:col>
      <xdr:colOff>760135</xdr:colOff>
      <xdr:row>33</xdr:row>
      <xdr:rowOff>164261</xdr:rowOff>
    </xdr:to>
    <xdr:pic>
      <xdr:nvPicPr>
        <xdr:cNvPr id="160" name="Picture 186">
          <a:extLst>
            <a:ext uri="{FF2B5EF4-FFF2-40B4-BE49-F238E27FC236}">
              <a16:creationId xmlns:a16="http://schemas.microsoft.com/office/drawing/2014/main" id="{00000000-0008-0000-0300-00006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8080345" y="6370182"/>
          <a:ext cx="337890" cy="499679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</xdr:pic>
    <xdr:clientData/>
  </xdr:twoCellAnchor>
  <xdr:twoCellAnchor>
    <xdr:from>
      <xdr:col>1</xdr:col>
      <xdr:colOff>90907</xdr:colOff>
      <xdr:row>12</xdr:row>
      <xdr:rowOff>26827</xdr:rowOff>
    </xdr:from>
    <xdr:to>
      <xdr:col>12</xdr:col>
      <xdr:colOff>254000</xdr:colOff>
      <xdr:row>15</xdr:row>
      <xdr:rowOff>139700</xdr:rowOff>
    </xdr:to>
    <xdr:sp macro="" textlink="">
      <xdr:nvSpPr>
        <xdr:cNvPr id="161" name="Rectangle 153">
          <a:extLst>
            <a:ext uri="{FF2B5EF4-FFF2-40B4-BE49-F238E27FC236}">
              <a16:creationId xmlns:a16="http://schemas.microsoft.com/office/drawing/2014/main" id="{00000000-0008-0000-0300-000067000000}"/>
            </a:ext>
          </a:extLst>
        </xdr:cNvPr>
        <xdr:cNvSpPr/>
      </xdr:nvSpPr>
      <xdr:spPr>
        <a:xfrm>
          <a:off x="941807" y="2465227"/>
          <a:ext cx="9522993" cy="722473"/>
        </a:xfrm>
        <a:prstGeom prst="rect">
          <a:avLst/>
        </a:prstGeom>
        <a:noFill/>
        <a:ln w="9525">
          <a:solidFill>
            <a:sysClr val="window" lastClr="FFFFFF">
              <a:lumMod val="85000"/>
            </a:sysClr>
          </a:solidFill>
          <a:miter lim="800000"/>
          <a:headEnd/>
          <a:tailEnd/>
        </a:ln>
        <a:effectLst/>
      </xdr:spPr>
      <xdr:txBody>
        <a:bodyPr wrap="square" lIns="63833" tIns="31917" rIns="63833" bIns="31917" anchor="ctr"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457200" marR="0" lvl="1" indent="0" algn="l" defTabSz="858370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>
              <a:srgbClr val="1F497D"/>
            </a:buClr>
            <a:buSzTx/>
            <a:buFontTx/>
            <a:buNone/>
            <a:tabLst/>
            <a:defRPr/>
          </a:pPr>
          <a:r>
            <a:rPr kumimoji="0" lang="es-ES_tradnl" sz="1000" b="1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charset="0"/>
              <a:ea typeface="+mn-ea"/>
              <a:cs typeface="Arial" charset="0"/>
            </a:rPr>
            <a:t>    Charla, Entrega de Postura e inicio de actividades </a:t>
          </a:r>
          <a:r>
            <a:rPr kumimoji="0" lang="es-ES" sz="1000" b="0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charset="0"/>
              <a:ea typeface="+mn-ea"/>
              <a:cs typeface="Arial" charset="0"/>
            </a:rPr>
            <a:t>Se realiza charla de Inicio de turno con</a:t>
          </a:r>
        </a:p>
        <a:p>
          <a:pPr marL="457200" marR="0" lvl="1" indent="0" algn="l" defTabSz="858370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>
              <a:srgbClr val="1F497D"/>
            </a:buClr>
            <a:buSzTx/>
            <a:buFontTx/>
            <a:buNone/>
            <a:tabLst/>
            <a:defRPr/>
          </a:pPr>
          <a:r>
            <a:rPr kumimoji="0" lang="es-ES" sz="1000" b="0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charset="0"/>
              <a:ea typeface="+mn-ea"/>
              <a:cs typeface="Arial" charset="0"/>
            </a:rPr>
            <a:t>     los operarios en sala de reuniones y se entregan  la pautas de Trabajo. Traslado a postura </a:t>
          </a:r>
        </a:p>
        <a:p>
          <a:pPr marL="457200" marR="0" lvl="1" indent="0" algn="l" defTabSz="858370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>
              <a:srgbClr val="1F497D"/>
            </a:buClr>
            <a:buSzTx/>
            <a:buFontTx/>
            <a:buNone/>
            <a:tabLst/>
            <a:defRPr/>
          </a:pPr>
          <a:r>
            <a:rPr kumimoji="0" lang="es-ES" sz="1000" b="0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charset="0"/>
              <a:ea typeface="+mn-ea"/>
              <a:cs typeface="Arial" charset="0"/>
            </a:rPr>
            <a:t>     limpieza del sector termino primera actividad </a:t>
          </a:r>
        </a:p>
        <a:p>
          <a:pPr rtl="0" eaLnBrk="0" fontAlgn="base" latinLnBrk="0" hangingPunct="0"/>
          <a:r>
            <a:rPr lang="es-ES" sz="1000" b="0" i="0" kern="1200" baseline="0">
              <a:solidFill>
                <a:schemeClr val="tx1"/>
              </a:solidFill>
              <a:effectLst/>
              <a:latin typeface="Arial" charset="0"/>
              <a:ea typeface="+mn-ea"/>
              <a:cs typeface="+mn-cs"/>
            </a:rPr>
            <a:t>  </a:t>
          </a:r>
          <a:endParaRPr kumimoji="0" lang="es-ES" sz="1000" b="0" i="0" u="none" strike="noStrike" kern="120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Arial" charset="0"/>
            <a:ea typeface="+mn-ea"/>
            <a:cs typeface="Arial" charset="0"/>
          </a:endParaRPr>
        </a:p>
      </xdr:txBody>
    </xdr:sp>
    <xdr:clientData/>
  </xdr:twoCellAnchor>
  <xdr:twoCellAnchor>
    <xdr:from>
      <xdr:col>1</xdr:col>
      <xdr:colOff>158336</xdr:colOff>
      <xdr:row>9</xdr:row>
      <xdr:rowOff>145190</xdr:rowOff>
    </xdr:from>
    <xdr:to>
      <xdr:col>1</xdr:col>
      <xdr:colOff>571499</xdr:colOff>
      <xdr:row>11</xdr:row>
      <xdr:rowOff>139699</xdr:rowOff>
    </xdr:to>
    <xdr:sp macro="" textlink="">
      <xdr:nvSpPr>
        <xdr:cNvPr id="162" name="Oval 144">
          <a:extLst>
            <a:ext uri="{FF2B5EF4-FFF2-40B4-BE49-F238E27FC236}">
              <a16:creationId xmlns:a16="http://schemas.microsoft.com/office/drawing/2014/main" id="{00000000-0008-0000-0300-000068000000}"/>
            </a:ext>
          </a:extLst>
        </xdr:cNvPr>
        <xdr:cNvSpPr>
          <a:spLocks/>
        </xdr:cNvSpPr>
      </xdr:nvSpPr>
      <xdr:spPr>
        <a:xfrm>
          <a:off x="1009236" y="1973990"/>
          <a:ext cx="413163" cy="400909"/>
        </a:xfrm>
        <a:prstGeom prst="ellipse">
          <a:avLst/>
        </a:prstGeom>
        <a:solidFill>
          <a:srgbClr val="44546A"/>
        </a:solidFill>
        <a:ln w="9525" cap="flat" cmpd="sng" algn="ctr">
          <a:noFill/>
          <a:prstDash val="solid"/>
          <a:miter lim="800000"/>
        </a:ln>
        <a:effectLst>
          <a:glow>
            <a:srgbClr val="5B9BD5">
              <a:alpha val="40000"/>
            </a:srgbClr>
          </a:glow>
          <a:outerShdw blurRad="101600" sx="64000" sy="64000" rotWithShape="0">
            <a:sysClr val="windowText" lastClr="000000"/>
          </a:outerShdw>
        </a:effectLst>
        <a:scene3d>
          <a:camera prst="orthographicFront"/>
          <a:lightRig rig="balanced" dir="t">
            <a:rot lat="0" lon="0" rev="7800000"/>
          </a:lightRig>
        </a:scene3d>
        <a:sp3d>
          <a:bevelT w="254000" h="31750"/>
          <a:bevelB w="0" h="38100"/>
          <a:extrusionClr>
            <a:srgbClr val="E7E6E6"/>
          </a:extrusionClr>
          <a:contourClr>
            <a:srgbClr val="A5A5A5"/>
          </a:contourClr>
        </a:sp3d>
      </xdr:spPr>
      <xdr:txBody>
        <a:bodyPr wrap="square" lIns="0" tIns="0" rIns="0" bIns="0" rtlCol="0" anchor="ctr"/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764" b="1" i="0" u="none" strike="noStrike" kern="1200" cap="none" spc="0" normalizeH="0" baseline="0" noProof="0">
              <a:ln>
                <a:noFill/>
              </a:ln>
              <a:solidFill>
                <a:srgbClr val="FFFFFF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2</a:t>
          </a:r>
        </a:p>
      </xdr:txBody>
    </xdr:sp>
    <xdr:clientData/>
  </xdr:twoCellAnchor>
  <xdr:twoCellAnchor>
    <xdr:from>
      <xdr:col>1</xdr:col>
      <xdr:colOff>114767</xdr:colOff>
      <xdr:row>19</xdr:row>
      <xdr:rowOff>194698</xdr:rowOff>
    </xdr:from>
    <xdr:to>
      <xdr:col>12</xdr:col>
      <xdr:colOff>240163</xdr:colOff>
      <xdr:row>22</xdr:row>
      <xdr:rowOff>171933</xdr:rowOff>
    </xdr:to>
    <xdr:sp macro="" textlink="">
      <xdr:nvSpPr>
        <xdr:cNvPr id="163" name="Rectangle 153">
          <a:extLst>
            <a:ext uri="{FF2B5EF4-FFF2-40B4-BE49-F238E27FC236}">
              <a16:creationId xmlns:a16="http://schemas.microsoft.com/office/drawing/2014/main" id="{00000000-0008-0000-0300-000069000000}"/>
            </a:ext>
          </a:extLst>
        </xdr:cNvPr>
        <xdr:cNvSpPr/>
      </xdr:nvSpPr>
      <xdr:spPr>
        <a:xfrm>
          <a:off x="965667" y="4055498"/>
          <a:ext cx="9485296" cy="586835"/>
        </a:xfrm>
        <a:prstGeom prst="rect">
          <a:avLst/>
        </a:prstGeom>
        <a:solidFill>
          <a:sysClr val="window" lastClr="FFFFFF"/>
        </a:solidFill>
        <a:ln w="9525">
          <a:solidFill>
            <a:sysClr val="window" lastClr="FFFFFF">
              <a:lumMod val="85000"/>
            </a:sysClr>
          </a:solidFill>
          <a:miter lim="800000"/>
          <a:headEnd/>
          <a:tailEnd/>
        </a:ln>
        <a:effectLst/>
      </xdr:spPr>
      <xdr:txBody>
        <a:bodyPr wrap="square" lIns="63833" tIns="31917" rIns="63833" bIns="31917" anchor="ctr"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457200" marR="0" lvl="1" indent="0" algn="l" defTabSz="858370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>
              <a:srgbClr val="1F497D"/>
            </a:buClr>
            <a:buSzTx/>
            <a:buFontTx/>
            <a:buNone/>
            <a:tabLst/>
            <a:defRPr/>
          </a:pPr>
          <a:r>
            <a:rPr kumimoji="0" lang="es-ES_tradnl" sz="1200" b="1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charset="0"/>
              <a:ea typeface="+mn-ea"/>
              <a:cs typeface="Arial" charset="0"/>
            </a:rPr>
            <a:t>   Alimentación</a:t>
          </a:r>
        </a:p>
        <a:p>
          <a:pPr marL="457200" marR="0" lvl="1" indent="0" algn="l" defTabSz="858370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>
              <a:srgbClr val="1F497D"/>
            </a:buClr>
            <a:buSzTx/>
            <a:buFontTx/>
            <a:buNone/>
            <a:tabLst/>
            <a:defRPr/>
          </a:pPr>
          <a:r>
            <a:rPr kumimoji="0" lang="es-ES" sz="1080" b="0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charset="0"/>
              <a:ea typeface="+mn-ea"/>
              <a:cs typeface="Arial" charset="0"/>
            </a:rPr>
            <a:t>   Se dispone a almorzar en caso de que no lo haya hecho durante el turno.</a:t>
          </a:r>
        </a:p>
      </xdr:txBody>
    </xdr:sp>
    <xdr:clientData/>
  </xdr:twoCellAnchor>
  <xdr:twoCellAnchor>
    <xdr:from>
      <xdr:col>1</xdr:col>
      <xdr:colOff>110002</xdr:colOff>
      <xdr:row>16</xdr:row>
      <xdr:rowOff>122344</xdr:rowOff>
    </xdr:from>
    <xdr:to>
      <xdr:col>1</xdr:col>
      <xdr:colOff>615237</xdr:colOff>
      <xdr:row>18</xdr:row>
      <xdr:rowOff>152860</xdr:rowOff>
    </xdr:to>
    <xdr:sp macro="" textlink="">
      <xdr:nvSpPr>
        <xdr:cNvPr id="164" name="Oval 144">
          <a:extLst>
            <a:ext uri="{FF2B5EF4-FFF2-40B4-BE49-F238E27FC236}">
              <a16:creationId xmlns:a16="http://schemas.microsoft.com/office/drawing/2014/main" id="{00000000-0008-0000-0300-00006A000000}"/>
            </a:ext>
          </a:extLst>
        </xdr:cNvPr>
        <xdr:cNvSpPr>
          <a:spLocks/>
        </xdr:cNvSpPr>
      </xdr:nvSpPr>
      <xdr:spPr>
        <a:xfrm>
          <a:off x="960902" y="3373544"/>
          <a:ext cx="505235" cy="436916"/>
        </a:xfrm>
        <a:prstGeom prst="ellipse">
          <a:avLst/>
        </a:prstGeom>
        <a:solidFill>
          <a:srgbClr val="44546A"/>
        </a:solidFill>
        <a:ln w="9525" cap="flat" cmpd="sng" algn="ctr">
          <a:noFill/>
          <a:prstDash val="solid"/>
          <a:miter lim="800000"/>
        </a:ln>
        <a:effectLst>
          <a:glow>
            <a:srgbClr val="5B9BD5">
              <a:alpha val="40000"/>
            </a:srgbClr>
          </a:glow>
          <a:outerShdw blurRad="101600" sx="64000" sy="64000" rotWithShape="0">
            <a:sysClr val="windowText" lastClr="000000"/>
          </a:outerShdw>
        </a:effectLst>
        <a:scene3d>
          <a:camera prst="orthographicFront"/>
          <a:lightRig rig="balanced" dir="t">
            <a:rot lat="0" lon="0" rev="7800000"/>
          </a:lightRig>
        </a:scene3d>
        <a:sp3d>
          <a:bevelT w="254000" h="31750"/>
          <a:bevelB w="0" h="38100"/>
          <a:extrusionClr>
            <a:srgbClr val="E7E6E6"/>
          </a:extrusionClr>
          <a:contourClr>
            <a:srgbClr val="A5A5A5"/>
          </a:contourClr>
        </a:sp3d>
      </xdr:spPr>
      <xdr:txBody>
        <a:bodyPr wrap="square" lIns="0" tIns="0" rIns="0" bIns="0" rtlCol="0" anchor="ctr"/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764" b="1" i="0" u="none" strike="noStrike" kern="1200" cap="none" spc="0" normalizeH="0" baseline="0" noProof="0">
              <a:ln>
                <a:noFill/>
              </a:ln>
              <a:solidFill>
                <a:srgbClr val="FFFFFF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4</a:t>
          </a:r>
        </a:p>
      </xdr:txBody>
    </xdr:sp>
    <xdr:clientData/>
  </xdr:twoCellAnchor>
  <xdr:twoCellAnchor>
    <xdr:from>
      <xdr:col>10</xdr:col>
      <xdr:colOff>378841</xdr:colOff>
      <xdr:row>20</xdr:row>
      <xdr:rowOff>72995</xdr:rowOff>
    </xdr:from>
    <xdr:to>
      <xdr:col>12</xdr:col>
      <xdr:colOff>97376</xdr:colOff>
      <xdr:row>22</xdr:row>
      <xdr:rowOff>130750</xdr:rowOff>
    </xdr:to>
    <xdr:sp macro="" textlink="">
      <xdr:nvSpPr>
        <xdr:cNvPr id="165" name="Rounded Rectangle 104">
          <a:extLst>
            <a:ext uri="{FF2B5EF4-FFF2-40B4-BE49-F238E27FC236}">
              <a16:creationId xmlns:a16="http://schemas.microsoft.com/office/drawing/2014/main" id="{00000000-0008-0000-0300-00006B000000}"/>
            </a:ext>
          </a:extLst>
        </xdr:cNvPr>
        <xdr:cNvSpPr>
          <a:spLocks/>
        </xdr:cNvSpPr>
      </xdr:nvSpPr>
      <xdr:spPr>
        <a:xfrm>
          <a:off x="8887841" y="4136995"/>
          <a:ext cx="1420335" cy="464155"/>
        </a:xfrm>
        <a:prstGeom prst="roundRect">
          <a:avLst/>
        </a:prstGeom>
        <a:solidFill>
          <a:sysClr val="window" lastClr="FFFFFF"/>
        </a:solidFill>
        <a:ln w="9525">
          <a:solidFill>
            <a:sysClr val="window" lastClr="FFFFFF">
              <a:lumMod val="85000"/>
            </a:sysClr>
          </a:solidFill>
          <a:miter lim="800000"/>
          <a:headEnd/>
          <a:tailEnd/>
        </a:ln>
        <a:effectLst/>
      </xdr:spPr>
      <xdr:txBody>
        <a:bodyPr wrap="square" lIns="0" tIns="0" rIns="0" bIns="0" anchor="ctr"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ctr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0" lang="es-CO" sz="1200" b="1" i="0" u="none" strike="noStrike" kern="120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200" b="1" i="0" u="none" strike="noStrike" kern="120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    TA  :   13:00</a:t>
          </a:r>
          <a:endParaRPr kumimoji="0" lang="es-CL" sz="1200" b="0" i="0" u="none" strike="noStrike" kern="120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200" b="1" i="0" u="none" strike="noStrike" kern="120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    TB :   01:00</a:t>
          </a:r>
          <a:endParaRPr kumimoji="0" lang="es-CL" sz="1200" b="0" i="0" u="none" strike="noStrike" kern="120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ctr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0" lang="es-CO" sz="1200" b="1" i="0" u="none" strike="noStrike" kern="120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63500</xdr:colOff>
      <xdr:row>6</xdr:row>
      <xdr:rowOff>101600</xdr:rowOff>
    </xdr:from>
    <xdr:to>
      <xdr:col>12</xdr:col>
      <xdr:colOff>182487</xdr:colOff>
      <xdr:row>8</xdr:row>
      <xdr:rowOff>165101</xdr:rowOff>
    </xdr:to>
    <xdr:sp macro="" textlink="">
      <xdr:nvSpPr>
        <xdr:cNvPr id="168" name="Rectangle 153">
          <a:extLst>
            <a:ext uri="{FF2B5EF4-FFF2-40B4-BE49-F238E27FC236}">
              <a16:creationId xmlns:a16="http://schemas.microsoft.com/office/drawing/2014/main" id="{D4F23F80-2737-4CBF-AC1E-D017783FAB62}"/>
            </a:ext>
          </a:extLst>
        </xdr:cNvPr>
        <xdr:cNvSpPr/>
      </xdr:nvSpPr>
      <xdr:spPr>
        <a:xfrm>
          <a:off x="914400" y="1320800"/>
          <a:ext cx="9478887" cy="469901"/>
        </a:xfrm>
        <a:prstGeom prst="rect">
          <a:avLst/>
        </a:prstGeom>
        <a:solidFill>
          <a:sysClr val="window" lastClr="FFFFFF"/>
        </a:solidFill>
        <a:ln w="9525">
          <a:solidFill>
            <a:sysClr val="window" lastClr="FFFFFF">
              <a:lumMod val="85000"/>
            </a:sysClr>
          </a:solidFill>
          <a:miter lim="800000"/>
          <a:headEnd/>
          <a:tailEnd/>
        </a:ln>
        <a:effectLst/>
      </xdr:spPr>
      <xdr:txBody>
        <a:bodyPr wrap="square" lIns="63833" tIns="31917" rIns="63833" bIns="31917" anchor="ctr"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457200" marR="0" lvl="1" indent="0" algn="l" defTabSz="858370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>
              <a:srgbClr val="1F497D"/>
            </a:buClr>
            <a:buSzTx/>
            <a:buFontTx/>
            <a:buNone/>
            <a:tabLst/>
            <a:defRPr/>
          </a:pPr>
          <a:r>
            <a:rPr kumimoji="0" lang="es-ES_tradnl" sz="1200" b="1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charset="0"/>
              <a:ea typeface="+mn-ea"/>
              <a:cs typeface="Arial" charset="0"/>
            </a:rPr>
            <a:t>  Llegada a instalaciones</a:t>
          </a:r>
        </a:p>
        <a:p>
          <a:pPr marL="457200" marR="0" lvl="1" indent="0" algn="l" defTabSz="858370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>
              <a:srgbClr val="1F497D"/>
            </a:buClr>
            <a:buSzTx/>
            <a:buFontTx/>
            <a:buNone/>
            <a:tabLst/>
            <a:defRPr/>
          </a:pPr>
          <a:r>
            <a:rPr kumimoji="0" lang="es-ES" sz="1078" b="0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charset="0"/>
              <a:ea typeface="+mn-ea"/>
              <a:cs typeface="Arial" charset="0"/>
            </a:rPr>
            <a:t>  Supervisor de terreno realiza desinfeccion de instalaciones</a:t>
          </a:r>
        </a:p>
      </xdr:txBody>
    </xdr:sp>
    <xdr:clientData/>
  </xdr:twoCellAnchor>
  <xdr:twoCellAnchor>
    <xdr:from>
      <xdr:col>1</xdr:col>
      <xdr:colOff>127000</xdr:colOff>
      <xdr:row>6</xdr:row>
      <xdr:rowOff>139700</xdr:rowOff>
    </xdr:from>
    <xdr:to>
      <xdr:col>1</xdr:col>
      <xdr:colOff>571500</xdr:colOff>
      <xdr:row>8</xdr:row>
      <xdr:rowOff>120650</xdr:rowOff>
    </xdr:to>
    <xdr:sp macro="" textlink="">
      <xdr:nvSpPr>
        <xdr:cNvPr id="169" name="Oval 144">
          <a:extLst>
            <a:ext uri="{FF2B5EF4-FFF2-40B4-BE49-F238E27FC236}">
              <a16:creationId xmlns:a16="http://schemas.microsoft.com/office/drawing/2014/main" id="{0AAD13C3-1590-469F-B651-7DC8C8CEFB67}"/>
            </a:ext>
          </a:extLst>
        </xdr:cNvPr>
        <xdr:cNvSpPr>
          <a:spLocks/>
        </xdr:cNvSpPr>
      </xdr:nvSpPr>
      <xdr:spPr>
        <a:xfrm>
          <a:off x="977900" y="1358900"/>
          <a:ext cx="444500" cy="387350"/>
        </a:xfrm>
        <a:prstGeom prst="ellipse">
          <a:avLst/>
        </a:prstGeom>
        <a:solidFill>
          <a:schemeClr val="tx2"/>
        </a:solidFill>
        <a:ln w="9525">
          <a:noFill/>
        </a:ln>
        <a:effectLst>
          <a:glow>
            <a:schemeClr val="accent1">
              <a:alpha val="40000"/>
            </a:schemeClr>
          </a:glow>
          <a:outerShdw blurRad="101600" sx="64000" sy="64000" rotWithShape="0">
            <a:schemeClr val="tx1"/>
          </a:outerShdw>
        </a:effectLst>
        <a:scene3d>
          <a:camera prst="orthographicFront"/>
          <a:lightRig rig="balanced" dir="t">
            <a:rot lat="0" lon="0" rev="7800000"/>
          </a:lightRig>
        </a:scene3d>
        <a:sp3d>
          <a:bevelT w="254000" h="31750"/>
          <a:bevelB w="0" h="38100"/>
          <a:extrusionClr>
            <a:schemeClr val="bg2"/>
          </a:extrusionClr>
          <a:contourClr>
            <a:schemeClr val="accent3"/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0" tIns="0" rIns="0" bIns="0" rtlCol="0" anchor="ctr"/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O" sz="1764" b="1">
              <a:solidFill>
                <a:srgbClr val="FFFFFF"/>
              </a:solidFill>
            </a:rPr>
            <a:t>1</a:t>
          </a:r>
        </a:p>
      </xdr:txBody>
    </xdr:sp>
    <xdr:clientData/>
  </xdr:twoCellAnchor>
  <xdr:twoCellAnchor>
    <xdr:from>
      <xdr:col>9</xdr:col>
      <xdr:colOff>558800</xdr:colOff>
      <xdr:row>6</xdr:row>
      <xdr:rowOff>123825</xdr:rowOff>
    </xdr:from>
    <xdr:to>
      <xdr:col>10</xdr:col>
      <xdr:colOff>38131</xdr:colOff>
      <xdr:row>9</xdr:row>
      <xdr:rowOff>17688</xdr:rowOff>
    </xdr:to>
    <xdr:pic>
      <xdr:nvPicPr>
        <xdr:cNvPr id="172" name="Picture 186">
          <a:extLst>
            <a:ext uri="{FF2B5EF4-FFF2-40B4-BE49-F238E27FC236}">
              <a16:creationId xmlns:a16="http://schemas.microsoft.com/office/drawing/2014/main" id="{9076E430-6069-440F-B1D0-AA23CBB62D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8216900" y="1343025"/>
          <a:ext cx="330231" cy="503463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</xdr:pic>
    <xdr:clientData/>
  </xdr:twoCellAnchor>
  <xdr:twoCellAnchor>
    <xdr:from>
      <xdr:col>10</xdr:col>
      <xdr:colOff>298450</xdr:colOff>
      <xdr:row>6</xdr:row>
      <xdr:rowOff>114300</xdr:rowOff>
    </xdr:from>
    <xdr:to>
      <xdr:col>12</xdr:col>
      <xdr:colOff>68346</xdr:colOff>
      <xdr:row>8</xdr:row>
      <xdr:rowOff>150654</xdr:rowOff>
    </xdr:to>
    <xdr:sp macro="" textlink="">
      <xdr:nvSpPr>
        <xdr:cNvPr id="173" name="Rounded Rectangle 104">
          <a:extLst>
            <a:ext uri="{FF2B5EF4-FFF2-40B4-BE49-F238E27FC236}">
              <a16:creationId xmlns:a16="http://schemas.microsoft.com/office/drawing/2014/main" id="{BDA98C13-5306-4473-A223-34E5D351DCBC}"/>
            </a:ext>
          </a:extLst>
        </xdr:cNvPr>
        <xdr:cNvSpPr>
          <a:spLocks/>
        </xdr:cNvSpPr>
      </xdr:nvSpPr>
      <xdr:spPr>
        <a:xfrm>
          <a:off x="8807450" y="1333500"/>
          <a:ext cx="1471696" cy="442754"/>
        </a:xfrm>
        <a:prstGeom prst="roundRect">
          <a:avLst/>
        </a:prstGeom>
        <a:solidFill>
          <a:schemeClr val="bg1"/>
        </a:solidFill>
        <a:ln w="9525">
          <a:solidFill>
            <a:schemeClr val="bg1">
              <a:lumMod val="85000"/>
            </a:schemeClr>
          </a:solidFill>
          <a:miter lim="800000"/>
          <a:headEnd/>
          <a:tailEnd/>
        </a:ln>
        <a:effectLst/>
      </xdr:spPr>
      <xdr:txBody>
        <a:bodyPr wrap="square" lIns="0" tIns="0" rIns="0" bIns="0" anchor="ctr"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algn="ctr" defTabSz="896112"/>
          <a:endParaRPr lang="es-CO" sz="1200" b="1">
            <a:solidFill>
              <a:srgbClr val="000000"/>
            </a:solidFill>
          </a:endParaRPr>
        </a:p>
        <a:p>
          <a:pPr algn="ctr" defTabSz="896112"/>
          <a:r>
            <a:rPr lang="es-CO" sz="1200" b="1">
              <a:solidFill>
                <a:srgbClr val="000000"/>
              </a:solidFill>
            </a:rPr>
            <a:t>TA  :   8:00</a:t>
          </a:r>
        </a:p>
        <a:p>
          <a:pPr algn="ctr" defTabSz="896112"/>
          <a:r>
            <a:rPr lang="es-CO" sz="1200" b="1">
              <a:solidFill>
                <a:srgbClr val="000000"/>
              </a:solidFill>
            </a:rPr>
            <a:t>TB</a:t>
          </a:r>
          <a:r>
            <a:rPr lang="es-CO" sz="1200" b="1" baseline="0">
              <a:solidFill>
                <a:srgbClr val="000000"/>
              </a:solidFill>
            </a:rPr>
            <a:t> : 20:00</a:t>
          </a:r>
          <a:endParaRPr lang="es-CO" sz="1200" b="1">
            <a:solidFill>
              <a:srgbClr val="000000"/>
            </a:solidFill>
          </a:endParaRPr>
        </a:p>
        <a:p>
          <a:pPr algn="ctr" defTabSz="896112"/>
          <a:endParaRPr lang="es-CO" sz="1200" b="1">
            <a:solidFill>
              <a:srgbClr val="000000"/>
            </a:solidFill>
          </a:endParaRPr>
        </a:p>
      </xdr:txBody>
    </xdr:sp>
    <xdr:clientData/>
  </xdr:twoCellAnchor>
  <xdr:twoCellAnchor>
    <xdr:from>
      <xdr:col>1</xdr:col>
      <xdr:colOff>139700</xdr:colOff>
      <xdr:row>20</xdr:row>
      <xdr:rowOff>88900</xdr:rowOff>
    </xdr:from>
    <xdr:to>
      <xdr:col>1</xdr:col>
      <xdr:colOff>650516</xdr:colOff>
      <xdr:row>22</xdr:row>
      <xdr:rowOff>119121</xdr:rowOff>
    </xdr:to>
    <xdr:sp macro="" textlink="">
      <xdr:nvSpPr>
        <xdr:cNvPr id="175" name="Oval 144">
          <a:extLst>
            <a:ext uri="{FF2B5EF4-FFF2-40B4-BE49-F238E27FC236}">
              <a16:creationId xmlns:a16="http://schemas.microsoft.com/office/drawing/2014/main" id="{00000000-0008-0000-0300-000050000000}"/>
            </a:ext>
          </a:extLst>
        </xdr:cNvPr>
        <xdr:cNvSpPr>
          <a:spLocks/>
        </xdr:cNvSpPr>
      </xdr:nvSpPr>
      <xdr:spPr>
        <a:xfrm>
          <a:off x="990600" y="4152900"/>
          <a:ext cx="510816" cy="436621"/>
        </a:xfrm>
        <a:prstGeom prst="ellipse">
          <a:avLst/>
        </a:prstGeom>
        <a:solidFill>
          <a:schemeClr val="tx2"/>
        </a:solidFill>
        <a:ln w="9525">
          <a:noFill/>
        </a:ln>
        <a:effectLst>
          <a:glow>
            <a:schemeClr val="accent1">
              <a:alpha val="40000"/>
            </a:schemeClr>
          </a:glow>
          <a:outerShdw blurRad="101600" sx="64000" sy="64000" rotWithShape="0">
            <a:schemeClr val="tx1"/>
          </a:outerShdw>
        </a:effectLst>
        <a:scene3d>
          <a:camera prst="orthographicFront"/>
          <a:lightRig rig="balanced" dir="t">
            <a:rot lat="0" lon="0" rev="7800000"/>
          </a:lightRig>
        </a:scene3d>
        <a:sp3d>
          <a:bevelT w="254000" h="31750"/>
          <a:bevelB w="0" h="38100"/>
          <a:extrusionClr>
            <a:schemeClr val="bg2"/>
          </a:extrusionClr>
          <a:contourClr>
            <a:schemeClr val="accent3"/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0" tIns="0" rIns="0" bIns="0" rtlCol="0" anchor="ctr"/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O" sz="1764" b="1">
              <a:solidFill>
                <a:srgbClr val="FFFFFF"/>
              </a:solidFill>
            </a:rPr>
            <a:t>5</a:t>
          </a:r>
        </a:p>
      </xdr:txBody>
    </xdr:sp>
    <xdr:clientData/>
  </xdr:twoCellAnchor>
  <xdr:twoCellAnchor>
    <xdr:from>
      <xdr:col>1</xdr:col>
      <xdr:colOff>165100</xdr:colOff>
      <xdr:row>27</xdr:row>
      <xdr:rowOff>139700</xdr:rowOff>
    </xdr:from>
    <xdr:to>
      <xdr:col>1</xdr:col>
      <xdr:colOff>662118</xdr:colOff>
      <xdr:row>29</xdr:row>
      <xdr:rowOff>172802</xdr:rowOff>
    </xdr:to>
    <xdr:sp macro="" textlink="">
      <xdr:nvSpPr>
        <xdr:cNvPr id="176" name="Oval 144">
          <a:extLst>
            <a:ext uri="{FF2B5EF4-FFF2-40B4-BE49-F238E27FC236}">
              <a16:creationId xmlns:a16="http://schemas.microsoft.com/office/drawing/2014/main" id="{27AA57CD-90FC-4BDD-ACAD-E918F3B43BAA}"/>
            </a:ext>
          </a:extLst>
        </xdr:cNvPr>
        <xdr:cNvSpPr>
          <a:spLocks/>
        </xdr:cNvSpPr>
      </xdr:nvSpPr>
      <xdr:spPr>
        <a:xfrm>
          <a:off x="1016000" y="5626100"/>
          <a:ext cx="497018" cy="439502"/>
        </a:xfrm>
        <a:prstGeom prst="ellipse">
          <a:avLst/>
        </a:prstGeom>
        <a:solidFill>
          <a:schemeClr val="tx2"/>
        </a:solidFill>
        <a:ln w="9525">
          <a:noFill/>
        </a:ln>
        <a:effectLst>
          <a:glow>
            <a:schemeClr val="accent1">
              <a:alpha val="40000"/>
            </a:schemeClr>
          </a:glow>
          <a:outerShdw blurRad="101600" sx="64000" sy="64000" rotWithShape="0">
            <a:schemeClr val="tx1"/>
          </a:outerShdw>
        </a:effectLst>
        <a:scene3d>
          <a:camera prst="orthographicFront"/>
          <a:lightRig rig="balanced" dir="t">
            <a:rot lat="0" lon="0" rev="7800000"/>
          </a:lightRig>
        </a:scene3d>
        <a:sp3d>
          <a:bevelT w="254000" h="31750"/>
          <a:bevelB w="0" h="38100"/>
          <a:extrusionClr>
            <a:schemeClr val="bg2"/>
          </a:extrusionClr>
          <a:contourClr>
            <a:schemeClr val="accent3"/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0" tIns="0" rIns="0" bIns="0" rtlCol="0" anchor="ctr"/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O" sz="1764" b="1">
              <a:solidFill>
                <a:srgbClr val="FFFFFF"/>
              </a:solidFill>
            </a:rPr>
            <a:t>7</a:t>
          </a:r>
        </a:p>
      </xdr:txBody>
    </xdr:sp>
    <xdr:clientData/>
  </xdr:twoCellAnchor>
  <xdr:twoCellAnchor>
    <xdr:from>
      <xdr:col>1</xdr:col>
      <xdr:colOff>761999</xdr:colOff>
      <xdr:row>27</xdr:row>
      <xdr:rowOff>57150</xdr:rowOff>
    </xdr:from>
    <xdr:to>
      <xdr:col>9</xdr:col>
      <xdr:colOff>396875</xdr:colOff>
      <xdr:row>30</xdr:row>
      <xdr:rowOff>41275</xdr:rowOff>
    </xdr:to>
    <xdr:sp macro="" textlink="">
      <xdr:nvSpPr>
        <xdr:cNvPr id="18434" name="Text Box 2"/>
        <xdr:cNvSpPr txBox="1">
          <a:spLocks noChangeArrowheads="1"/>
        </xdr:cNvSpPr>
      </xdr:nvSpPr>
      <xdr:spPr bwMode="auto">
        <a:xfrm>
          <a:off x="1612899" y="5543550"/>
          <a:ext cx="6442076" cy="59372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s-CL" sz="1200" b="1" i="0" u="none" strike="noStrike" baseline="0">
              <a:solidFill>
                <a:srgbClr val="000000"/>
              </a:solidFill>
              <a:latin typeface="Calibri"/>
              <a:cs typeface="Calibri"/>
            </a:rPr>
            <a:t>Abandono postura y termino de actividades</a:t>
          </a:r>
        </a:p>
        <a:p>
          <a:pPr algn="l" rtl="0">
            <a:defRPr sz="1000"/>
          </a:pPr>
          <a:r>
            <a:rPr lang="es-CL" sz="1200" b="0" i="0" u="none" strike="noStrike" baseline="0">
              <a:solidFill>
                <a:srgbClr val="000000"/>
              </a:solidFill>
              <a:latin typeface="+mn-lt"/>
              <a:cs typeface="Calibri"/>
            </a:rPr>
            <a:t>Cuadrilla revisa el trabajo ejecutado, asegurando el orden y la limpieza del área, así como de las </a:t>
          </a:r>
        </a:p>
        <a:p>
          <a:pPr algn="l" rtl="0">
            <a:defRPr sz="1000"/>
          </a:pPr>
          <a:r>
            <a:rPr lang="es-CL" sz="1200" b="0" i="0" u="none" strike="noStrike" baseline="0">
              <a:solidFill>
                <a:srgbClr val="000000"/>
              </a:solidFill>
              <a:latin typeface="+mn-lt"/>
              <a:cs typeface="Calibri"/>
            </a:rPr>
            <a:t>herramientas y equipos utilizados. Una vez abandonada la postura, comunica la usuario DET</a:t>
          </a:r>
        </a:p>
      </xdr:txBody>
    </xdr:sp>
    <xdr:clientData/>
  </xdr:twoCellAnchor>
  <xdr:twoCellAnchor>
    <xdr:from>
      <xdr:col>1</xdr:col>
      <xdr:colOff>739774</xdr:colOff>
      <xdr:row>23</xdr:row>
      <xdr:rowOff>88900</xdr:rowOff>
    </xdr:from>
    <xdr:to>
      <xdr:col>9</xdr:col>
      <xdr:colOff>374650</xdr:colOff>
      <xdr:row>26</xdr:row>
      <xdr:rowOff>73025</xdr:rowOff>
    </xdr:to>
    <xdr:sp macro="" textlink="">
      <xdr:nvSpPr>
        <xdr:cNvPr id="64" name="Text Box 2"/>
        <xdr:cNvSpPr txBox="1">
          <a:spLocks noChangeArrowheads="1"/>
        </xdr:cNvSpPr>
      </xdr:nvSpPr>
      <xdr:spPr bwMode="auto">
        <a:xfrm>
          <a:off x="1590674" y="4762500"/>
          <a:ext cx="6442076" cy="59372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s-CL" sz="1200" b="1" i="0" u="none" strike="noStrike" baseline="0">
              <a:solidFill>
                <a:srgbClr val="000000"/>
              </a:solidFill>
              <a:latin typeface="Calibri"/>
              <a:cs typeface="Calibri"/>
            </a:rPr>
            <a:t>Llegada a postura e inicio de actividades</a:t>
          </a:r>
        </a:p>
        <a:p>
          <a:pPr algn="l" rtl="0">
            <a:defRPr sz="1000"/>
          </a:pPr>
          <a:r>
            <a:rPr lang="es-CL" sz="1200" b="0" i="0" u="none" strike="noStrike" baseline="0">
              <a:solidFill>
                <a:srgbClr val="000000"/>
              </a:solidFill>
              <a:latin typeface="+mn-lt"/>
              <a:cs typeface="Calibri"/>
            </a:rPr>
            <a:t>Cuadrilla de operarios revisa las condiciones del entorno, completan su ART y planifican la ejecución del trabajo a desarrollar durante la tarde.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139700</xdr:colOff>
      <xdr:row>18</xdr:row>
      <xdr:rowOff>25399</xdr:rowOff>
    </xdr:from>
    <xdr:to>
      <xdr:col>17</xdr:col>
      <xdr:colOff>508000</xdr:colOff>
      <xdr:row>53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306115</xdr:colOff>
      <xdr:row>50</xdr:row>
      <xdr:rowOff>114299</xdr:rowOff>
    </xdr:from>
    <xdr:to>
      <xdr:col>13</xdr:col>
      <xdr:colOff>25400</xdr:colOff>
      <xdr:row>51</xdr:row>
      <xdr:rowOff>145144</xdr:rowOff>
    </xdr:to>
    <xdr:sp macro="" textlink="G19">
      <xdr:nvSpPr>
        <xdr:cNvPr id="3" name="CuadroText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 flipH="1">
          <a:off x="15088915" y="10718799"/>
          <a:ext cx="570185" cy="23404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555A5317-D1FC-424F-BE11-1B0F56ADCC53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5:56</a:t>
          </a:fld>
          <a:endParaRPr lang="es-CL" sz="1050"/>
        </a:p>
      </xdr:txBody>
    </xdr:sp>
    <xdr:clientData/>
  </xdr:twoCellAnchor>
  <xdr:twoCellAnchor>
    <xdr:from>
      <xdr:col>11</xdr:col>
      <xdr:colOff>434612</xdr:colOff>
      <xdr:row>50</xdr:row>
      <xdr:rowOff>152399</xdr:rowOff>
    </xdr:from>
    <xdr:to>
      <xdr:col>11</xdr:col>
      <xdr:colOff>977900</xdr:colOff>
      <xdr:row>51</xdr:row>
      <xdr:rowOff>172358</xdr:rowOff>
    </xdr:to>
    <xdr:sp macro="" textlink="G18">
      <xdr:nvSpPr>
        <xdr:cNvPr id="4" name="CuadroTexto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14049012" y="10756899"/>
          <a:ext cx="543288" cy="22315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6325B6A7-A311-4833-BC91-A814A1F8764C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6:01</a:t>
          </a:fld>
          <a:endParaRPr lang="es-CL" sz="1050"/>
        </a:p>
      </xdr:txBody>
    </xdr:sp>
    <xdr:clientData/>
  </xdr:twoCellAnchor>
  <xdr:twoCellAnchor>
    <xdr:from>
      <xdr:col>13</xdr:col>
      <xdr:colOff>701038</xdr:colOff>
      <xdr:row>50</xdr:row>
      <xdr:rowOff>50800</xdr:rowOff>
    </xdr:from>
    <xdr:to>
      <xdr:col>14</xdr:col>
      <xdr:colOff>558799</xdr:colOff>
      <xdr:row>51</xdr:row>
      <xdr:rowOff>158751</xdr:rowOff>
    </xdr:to>
    <xdr:sp macro="" textlink="G20">
      <xdr:nvSpPr>
        <xdr:cNvPr id="5" name="CuadroTexto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16334738" y="10655300"/>
          <a:ext cx="708661" cy="311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E5A5A6B-E513-4C35-9B95-0809204FBE31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5:53</a:t>
          </a:fld>
          <a:endParaRPr lang="es-CL" sz="1050"/>
        </a:p>
      </xdr:txBody>
    </xdr:sp>
    <xdr:clientData/>
  </xdr:twoCellAnchor>
  <xdr:twoCellAnchor>
    <xdr:from>
      <xdr:col>15</xdr:col>
      <xdr:colOff>705756</xdr:colOff>
      <xdr:row>38</xdr:row>
      <xdr:rowOff>190500</xdr:rowOff>
    </xdr:from>
    <xdr:to>
      <xdr:col>16</xdr:col>
      <xdr:colOff>1206500</xdr:colOff>
      <xdr:row>40</xdr:row>
      <xdr:rowOff>47173</xdr:rowOff>
    </xdr:to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17482456" y="8356600"/>
          <a:ext cx="1656444" cy="26307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MISCELANEOTTE SUB</a:t>
          </a:r>
          <a:r>
            <a:rPr lang="es-CL" sz="1100" baseline="0"/>
            <a:t> 5</a:t>
          </a:r>
        </a:p>
        <a:p>
          <a:endParaRPr lang="es-CL" sz="1100"/>
        </a:p>
      </xdr:txBody>
    </xdr:sp>
    <xdr:clientData/>
  </xdr:twoCellAnchor>
  <xdr:twoCellAnchor>
    <xdr:from>
      <xdr:col>16</xdr:col>
      <xdr:colOff>651327</xdr:colOff>
      <xdr:row>42</xdr:row>
      <xdr:rowOff>20864</xdr:rowOff>
    </xdr:from>
    <xdr:to>
      <xdr:col>16</xdr:col>
      <xdr:colOff>1202870</xdr:colOff>
      <xdr:row>43</xdr:row>
      <xdr:rowOff>116114</xdr:rowOff>
    </xdr:to>
    <xdr:sp macro="" textlink="G21">
      <xdr:nvSpPr>
        <xdr:cNvPr id="7" name="CuadroTexto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/>
      </xdr:nvSpPr>
      <xdr:spPr>
        <a:xfrm>
          <a:off x="18583727" y="8999764"/>
          <a:ext cx="55154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B387D8D-F093-4238-B980-BB02855E0B8B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5:56</a:t>
          </a:fld>
          <a:endParaRPr lang="es-CL" sz="1050"/>
        </a:p>
      </xdr:txBody>
    </xdr:sp>
    <xdr:clientData/>
  </xdr:twoCellAnchor>
  <xdr:twoCellAnchor>
    <xdr:from>
      <xdr:col>16</xdr:col>
      <xdr:colOff>651327</xdr:colOff>
      <xdr:row>44</xdr:row>
      <xdr:rowOff>123372</xdr:rowOff>
    </xdr:from>
    <xdr:to>
      <xdr:col>16</xdr:col>
      <xdr:colOff>1202870</xdr:colOff>
      <xdr:row>46</xdr:row>
      <xdr:rowOff>14515</xdr:rowOff>
    </xdr:to>
    <xdr:sp macro="" textlink="G22">
      <xdr:nvSpPr>
        <xdr:cNvPr id="8" name="CuadroTexto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 txBox="1"/>
      </xdr:nvSpPr>
      <xdr:spPr>
        <a:xfrm>
          <a:off x="18583727" y="9508672"/>
          <a:ext cx="551543" cy="2975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7004C28-1588-4759-9F86-D5305DD3B3F9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6:00</a:t>
          </a:fld>
          <a:endParaRPr lang="es-CL" sz="1050"/>
        </a:p>
      </xdr:txBody>
    </xdr:sp>
    <xdr:clientData/>
  </xdr:twoCellAnchor>
  <xdr:twoCellAnchor>
    <xdr:from>
      <xdr:col>16</xdr:col>
      <xdr:colOff>637720</xdr:colOff>
      <xdr:row>47</xdr:row>
      <xdr:rowOff>38101</xdr:rowOff>
    </xdr:from>
    <xdr:to>
      <xdr:col>16</xdr:col>
      <xdr:colOff>1189263</xdr:colOff>
      <xdr:row>48</xdr:row>
      <xdr:rowOff>133351</xdr:rowOff>
    </xdr:to>
    <xdr:sp macro="" textlink="G23">
      <xdr:nvSpPr>
        <xdr:cNvPr id="9" name="CuadroTexto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 txBox="1"/>
      </xdr:nvSpPr>
      <xdr:spPr>
        <a:xfrm>
          <a:off x="18570120" y="10033001"/>
          <a:ext cx="55154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C3C6CCF-9DAD-4511-9A80-66EC5E2168A7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99%</a:t>
          </a:fld>
          <a:endParaRPr lang="es-CL" sz="1050"/>
        </a:p>
      </xdr:txBody>
    </xdr:sp>
    <xdr:clientData/>
  </xdr:twoCellAnchor>
  <xdr:twoCellAnchor>
    <xdr:from>
      <xdr:col>15</xdr:col>
      <xdr:colOff>572406</xdr:colOff>
      <xdr:row>42</xdr:row>
      <xdr:rowOff>29936</xdr:rowOff>
    </xdr:from>
    <xdr:to>
      <xdr:col>16</xdr:col>
      <xdr:colOff>564243</xdr:colOff>
      <xdr:row>43</xdr:row>
      <xdr:rowOff>136071</xdr:rowOff>
    </xdr:to>
    <xdr:sp macro="" textlink="">
      <xdr:nvSpPr>
        <xdr:cNvPr id="10" name="CuadroTexto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 txBox="1"/>
      </xdr:nvSpPr>
      <xdr:spPr>
        <a:xfrm>
          <a:off x="17349106" y="9008836"/>
          <a:ext cx="1147537" cy="3093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 baseline="0"/>
            <a:t>Disponible</a:t>
          </a:r>
        </a:p>
        <a:p>
          <a:endParaRPr lang="es-CL" sz="1100"/>
        </a:p>
      </xdr:txBody>
    </xdr:sp>
    <xdr:clientData/>
  </xdr:twoCellAnchor>
  <xdr:twoCellAnchor>
    <xdr:from>
      <xdr:col>15</xdr:col>
      <xdr:colOff>602342</xdr:colOff>
      <xdr:row>44</xdr:row>
      <xdr:rowOff>59871</xdr:rowOff>
    </xdr:from>
    <xdr:to>
      <xdr:col>16</xdr:col>
      <xdr:colOff>594179</xdr:colOff>
      <xdr:row>45</xdr:row>
      <xdr:rowOff>166007</xdr:rowOff>
    </xdr:to>
    <xdr:sp macro="" textlink="">
      <xdr:nvSpPr>
        <xdr:cNvPr id="11" name="CuadroTexto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 txBox="1"/>
      </xdr:nvSpPr>
      <xdr:spPr>
        <a:xfrm>
          <a:off x="17379042" y="9445171"/>
          <a:ext cx="1147537" cy="30933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Aspiración</a:t>
          </a:r>
        </a:p>
        <a:p>
          <a:endParaRPr lang="es-CL" sz="1100"/>
        </a:p>
        <a:p>
          <a:endParaRPr lang="es-CL" sz="1100"/>
        </a:p>
      </xdr:txBody>
    </xdr:sp>
    <xdr:clientData/>
  </xdr:twoCellAnchor>
  <xdr:twoCellAnchor>
    <xdr:from>
      <xdr:col>15</xdr:col>
      <xdr:colOff>577849</xdr:colOff>
      <xdr:row>47</xdr:row>
      <xdr:rowOff>8167</xdr:rowOff>
    </xdr:from>
    <xdr:to>
      <xdr:col>16</xdr:col>
      <xdr:colOff>569686</xdr:colOff>
      <xdr:row>48</xdr:row>
      <xdr:rowOff>114302</xdr:rowOff>
    </xdr:to>
    <xdr:sp macro="" textlink="">
      <xdr:nvSpPr>
        <xdr:cNvPr id="12" name="CuadroTexto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 txBox="1"/>
      </xdr:nvSpPr>
      <xdr:spPr>
        <a:xfrm>
          <a:off x="17354549" y="10003067"/>
          <a:ext cx="1147537" cy="3093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Cumplimiento</a:t>
          </a:r>
        </a:p>
      </xdr:txBody>
    </xdr:sp>
    <xdr:clientData/>
  </xdr:twoCellAnchor>
  <xdr:twoCellAnchor>
    <xdr:from>
      <xdr:col>10</xdr:col>
      <xdr:colOff>1355951</xdr:colOff>
      <xdr:row>50</xdr:row>
      <xdr:rowOff>113394</xdr:rowOff>
    </xdr:from>
    <xdr:to>
      <xdr:col>10</xdr:col>
      <xdr:colOff>1845264</xdr:colOff>
      <xdr:row>52</xdr:row>
      <xdr:rowOff>5444</xdr:rowOff>
    </xdr:to>
    <xdr:sp macro="" textlink="G17">
      <xdr:nvSpPr>
        <xdr:cNvPr id="14" name="CuadroTexto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 txBox="1"/>
      </xdr:nvSpPr>
      <xdr:spPr>
        <a:xfrm>
          <a:off x="12900251" y="10717894"/>
          <a:ext cx="48931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B92D3AF-B45E-461E-8C29-22B7DE936BDD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5:48</a:t>
          </a:fld>
          <a:endParaRPr lang="es-CL" sz="1050"/>
        </a:p>
      </xdr:txBody>
    </xdr:sp>
    <xdr:clientData/>
  </xdr:twoCellAnchor>
  <xdr:twoCellAnchor>
    <xdr:from>
      <xdr:col>10</xdr:col>
      <xdr:colOff>0</xdr:colOff>
      <xdr:row>13</xdr:row>
      <xdr:rowOff>0</xdr:rowOff>
    </xdr:from>
    <xdr:to>
      <xdr:col>10</xdr:col>
      <xdr:colOff>5275035</xdr:colOff>
      <xdr:row>16</xdr:row>
      <xdr:rowOff>143334</xdr:rowOff>
    </xdr:to>
    <xdr:sp macro="" textlink="">
      <xdr:nvSpPr>
        <xdr:cNvPr id="15" name="CuadroTexto 17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 txBox="1"/>
      </xdr:nvSpPr>
      <xdr:spPr>
        <a:xfrm>
          <a:off x="11534775" y="2914650"/>
          <a:ext cx="5275035" cy="771984"/>
        </a:xfrm>
        <a:prstGeom prst="rect">
          <a:avLst/>
        </a:prstGeom>
        <a:solidFill>
          <a:schemeClr val="bg2">
            <a:lumMod val="95000"/>
          </a:schemeClr>
        </a:solidFill>
        <a:ln w="19050">
          <a:solidFill>
            <a:srgbClr val="FF0000"/>
          </a:solidFill>
        </a:ln>
      </xdr:spPr>
      <xdr:txBody>
        <a:bodyPr wrap="square" rtlCol="0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265113" indent="-265113">
            <a:tabLst>
              <a:tab pos="265113" algn="l"/>
            </a:tabLst>
          </a:pPr>
          <a:r>
            <a:rPr lang="es-CL" sz="900"/>
            <a:t>LU: </a:t>
          </a:r>
        </a:p>
        <a:p>
          <a:pPr marL="265113" indent="-265113">
            <a:tabLst>
              <a:tab pos="265113" algn="l"/>
            </a:tabLst>
          </a:pPr>
          <a:r>
            <a:rPr lang="es-CL" sz="900"/>
            <a:t>MA: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MI:</a:t>
          </a:r>
          <a:r>
            <a:rPr lang="es-ES" sz="900" baseline="0"/>
            <a:t>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JU: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VI:  .</a:t>
          </a:r>
          <a:endParaRPr lang="es-CL" sz="900"/>
        </a:p>
      </xdr:txBody>
    </xdr:sp>
    <xdr:clientData/>
  </xdr:twoCellAnchor>
  <xdr:twoCellAnchor>
    <xdr:from>
      <xdr:col>10</xdr:col>
      <xdr:colOff>198664</xdr:colOff>
      <xdr:row>50</xdr:row>
      <xdr:rowOff>111580</xdr:rowOff>
    </xdr:from>
    <xdr:to>
      <xdr:col>10</xdr:col>
      <xdr:colOff>756557</xdr:colOff>
      <xdr:row>52</xdr:row>
      <xdr:rowOff>3630</xdr:rowOff>
    </xdr:to>
    <xdr:sp macro="" textlink="G16">
      <xdr:nvSpPr>
        <xdr:cNvPr id="16" name="CuadroTexto 15">
          <a:extLst>
            <a:ext uri="{FF2B5EF4-FFF2-40B4-BE49-F238E27FC236}">
              <a16:creationId xmlns:a16="http://schemas.microsoft.com/office/drawing/2014/main" id="{C41EBFAB-ECDD-4DBD-A803-41D28B5E9625}"/>
            </a:ext>
          </a:extLst>
        </xdr:cNvPr>
        <xdr:cNvSpPr txBox="1"/>
      </xdr:nvSpPr>
      <xdr:spPr>
        <a:xfrm>
          <a:off x="11742964" y="10716080"/>
          <a:ext cx="55789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46AEE9B-74D4-4247-8BC3-3F2230E8AA5E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6:03</a:t>
          </a:fld>
          <a:endParaRPr lang="es-CL" sz="1050"/>
        </a:p>
      </xdr:txBody>
    </xdr:sp>
    <xdr:clientData/>
  </xdr:twoCellAnchor>
  <xdr:twoCellAnchor editAs="oneCell">
    <xdr:from>
      <xdr:col>2</xdr:col>
      <xdr:colOff>152400</xdr:colOff>
      <xdr:row>24</xdr:row>
      <xdr:rowOff>12700</xdr:rowOff>
    </xdr:from>
    <xdr:to>
      <xdr:col>6</xdr:col>
      <xdr:colOff>303675</xdr:colOff>
      <xdr:row>41</xdr:row>
      <xdr:rowOff>27225</xdr:rowOff>
    </xdr:to>
    <xdr:pic>
      <xdr:nvPicPr>
        <xdr:cNvPr id="18" name="Imagen 1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87500" y="5334000"/>
          <a:ext cx="4596275" cy="34689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103864</xdr:colOff>
      <xdr:row>13</xdr:row>
      <xdr:rowOff>137201</xdr:rowOff>
    </xdr:from>
    <xdr:to>
      <xdr:col>17</xdr:col>
      <xdr:colOff>825500</xdr:colOff>
      <xdr:row>49</xdr:row>
      <xdr:rowOff>100690</xdr:rowOff>
    </xdr:to>
    <xdr:graphicFrame macro="">
      <xdr:nvGraphicFramePr>
        <xdr:cNvPr id="35" name="Gráfico 34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699814</xdr:colOff>
      <xdr:row>47</xdr:row>
      <xdr:rowOff>1</xdr:rowOff>
    </xdr:from>
    <xdr:to>
      <xdr:col>12</xdr:col>
      <xdr:colOff>1333499</xdr:colOff>
      <xdr:row>48</xdr:row>
      <xdr:rowOff>101601</xdr:rowOff>
    </xdr:to>
    <xdr:sp macro="" textlink="G19">
      <xdr:nvSpPr>
        <xdr:cNvPr id="36" name="CuadroTexto 35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 flipH="1">
          <a:off x="14733314" y="10134601"/>
          <a:ext cx="633685" cy="304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E7D385A-72A3-4D2C-94A1-30A75ADBFE75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6:00</a:t>
          </a:fld>
          <a:endParaRPr lang="es-CL" sz="1050"/>
        </a:p>
      </xdr:txBody>
    </xdr:sp>
    <xdr:clientData/>
  </xdr:twoCellAnchor>
  <xdr:twoCellAnchor>
    <xdr:from>
      <xdr:col>11</xdr:col>
      <xdr:colOff>741045</xdr:colOff>
      <xdr:row>47</xdr:row>
      <xdr:rowOff>12700</xdr:rowOff>
    </xdr:from>
    <xdr:to>
      <xdr:col>11</xdr:col>
      <xdr:colOff>1346200</xdr:colOff>
      <xdr:row>48</xdr:row>
      <xdr:rowOff>108859</xdr:rowOff>
    </xdr:to>
    <xdr:sp macro="" textlink="G18">
      <xdr:nvSpPr>
        <xdr:cNvPr id="37" name="CuadroTexto 36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 flipH="1">
          <a:off x="13415645" y="10147300"/>
          <a:ext cx="605155" cy="29935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6325B6A7-A311-4833-BC91-A814A1F8764C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5:50</a:t>
          </a:fld>
          <a:endParaRPr lang="es-CL" sz="1050"/>
        </a:p>
      </xdr:txBody>
    </xdr:sp>
    <xdr:clientData/>
  </xdr:twoCellAnchor>
  <xdr:twoCellAnchor>
    <xdr:from>
      <xdr:col>13</xdr:col>
      <xdr:colOff>650238</xdr:colOff>
      <xdr:row>47</xdr:row>
      <xdr:rowOff>0</xdr:rowOff>
    </xdr:from>
    <xdr:to>
      <xdr:col>14</xdr:col>
      <xdr:colOff>215899</xdr:colOff>
      <xdr:row>48</xdr:row>
      <xdr:rowOff>93979</xdr:rowOff>
    </xdr:to>
    <xdr:sp macro="" textlink="G20">
      <xdr:nvSpPr>
        <xdr:cNvPr id="38" name="CuadroTexto 37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16017238" y="10134600"/>
          <a:ext cx="543561" cy="29717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E5A5A6B-E513-4C35-9B95-0809204FBE31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5:55</a:t>
          </a:fld>
          <a:endParaRPr lang="es-CL" sz="1050"/>
        </a:p>
      </xdr:txBody>
    </xdr:sp>
    <xdr:clientData/>
  </xdr:twoCellAnchor>
  <xdr:twoCellAnchor>
    <xdr:from>
      <xdr:col>15</xdr:col>
      <xdr:colOff>693056</xdr:colOff>
      <xdr:row>37</xdr:row>
      <xdr:rowOff>25400</xdr:rowOff>
    </xdr:from>
    <xdr:to>
      <xdr:col>17</xdr:col>
      <xdr:colOff>685800</xdr:colOff>
      <xdr:row>38</xdr:row>
      <xdr:rowOff>123373</xdr:rowOff>
    </xdr:to>
    <xdr:sp macro="" textlink="">
      <xdr:nvSpPr>
        <xdr:cNvPr id="39" name="CuadroTexto 38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17965056" y="8128000"/>
          <a:ext cx="1694544" cy="30117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MISCELANEO TTE</a:t>
          </a:r>
          <a:r>
            <a:rPr lang="es-CL" sz="1100" baseline="0"/>
            <a:t> SUB 6</a:t>
          </a:r>
          <a:endParaRPr lang="es-CL" sz="1100"/>
        </a:p>
      </xdr:txBody>
    </xdr:sp>
    <xdr:clientData/>
  </xdr:twoCellAnchor>
  <xdr:twoCellAnchor>
    <xdr:from>
      <xdr:col>17</xdr:col>
      <xdr:colOff>117927</xdr:colOff>
      <xdr:row>39</xdr:row>
      <xdr:rowOff>198664</xdr:rowOff>
    </xdr:from>
    <xdr:to>
      <xdr:col>17</xdr:col>
      <xdr:colOff>796470</xdr:colOff>
      <xdr:row>41</xdr:row>
      <xdr:rowOff>90714</xdr:rowOff>
    </xdr:to>
    <xdr:sp macro="" textlink="G21">
      <xdr:nvSpPr>
        <xdr:cNvPr id="40" name="CuadroTexto 39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/>
      </xdr:nvSpPr>
      <xdr:spPr>
        <a:xfrm>
          <a:off x="19091727" y="8707664"/>
          <a:ext cx="67854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B387D8D-F093-4238-B980-BB02855E0B8B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5:58</a:t>
          </a:fld>
          <a:endParaRPr lang="es-CL" sz="1050"/>
        </a:p>
      </xdr:txBody>
    </xdr:sp>
    <xdr:clientData/>
  </xdr:twoCellAnchor>
  <xdr:twoCellAnchor>
    <xdr:from>
      <xdr:col>17</xdr:col>
      <xdr:colOff>117927</xdr:colOff>
      <xdr:row>42</xdr:row>
      <xdr:rowOff>97972</xdr:rowOff>
    </xdr:from>
    <xdr:to>
      <xdr:col>17</xdr:col>
      <xdr:colOff>796470</xdr:colOff>
      <xdr:row>43</xdr:row>
      <xdr:rowOff>192315</xdr:rowOff>
    </xdr:to>
    <xdr:sp macro="" textlink="G22">
      <xdr:nvSpPr>
        <xdr:cNvPr id="41" name="CuadroTexto 40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 txBox="1"/>
      </xdr:nvSpPr>
      <xdr:spPr>
        <a:xfrm>
          <a:off x="19091727" y="9216572"/>
          <a:ext cx="678543" cy="2975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7004C28-1588-4759-9F86-D5305DD3B3F9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6:00</a:t>
          </a:fld>
          <a:endParaRPr lang="es-CL" sz="1050"/>
        </a:p>
      </xdr:txBody>
    </xdr:sp>
    <xdr:clientData/>
  </xdr:twoCellAnchor>
  <xdr:twoCellAnchor>
    <xdr:from>
      <xdr:col>17</xdr:col>
      <xdr:colOff>104320</xdr:colOff>
      <xdr:row>45</xdr:row>
      <xdr:rowOff>12701</xdr:rowOff>
    </xdr:from>
    <xdr:to>
      <xdr:col>17</xdr:col>
      <xdr:colOff>782863</xdr:colOff>
      <xdr:row>46</xdr:row>
      <xdr:rowOff>107951</xdr:rowOff>
    </xdr:to>
    <xdr:sp macro="" textlink="G23">
      <xdr:nvSpPr>
        <xdr:cNvPr id="42" name="CuadroTexto 41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 txBox="1"/>
      </xdr:nvSpPr>
      <xdr:spPr>
        <a:xfrm>
          <a:off x="19078120" y="9740901"/>
          <a:ext cx="67854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C3C6CCF-9DAD-4511-9A80-66EC5E2168A7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100%</a:t>
          </a:fld>
          <a:endParaRPr lang="es-CL" sz="1050"/>
        </a:p>
      </xdr:txBody>
    </xdr:sp>
    <xdr:clientData/>
  </xdr:twoCellAnchor>
  <xdr:twoCellAnchor>
    <xdr:from>
      <xdr:col>15</xdr:col>
      <xdr:colOff>102506</xdr:colOff>
      <xdr:row>40</xdr:row>
      <xdr:rowOff>4536</xdr:rowOff>
    </xdr:from>
    <xdr:to>
      <xdr:col>17</xdr:col>
      <xdr:colOff>30843</xdr:colOff>
      <xdr:row>41</xdr:row>
      <xdr:rowOff>110671</xdr:rowOff>
    </xdr:to>
    <xdr:sp macro="" textlink="">
      <xdr:nvSpPr>
        <xdr:cNvPr id="43" name="CuadroTexto 42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 txBox="1"/>
      </xdr:nvSpPr>
      <xdr:spPr>
        <a:xfrm>
          <a:off x="17374506" y="8716736"/>
          <a:ext cx="1630137" cy="3093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 baseline="0"/>
            <a:t>Disponible</a:t>
          </a:r>
        </a:p>
        <a:p>
          <a:endParaRPr lang="es-CL" sz="1100"/>
        </a:p>
      </xdr:txBody>
    </xdr:sp>
    <xdr:clientData/>
  </xdr:twoCellAnchor>
  <xdr:twoCellAnchor>
    <xdr:from>
      <xdr:col>15</xdr:col>
      <xdr:colOff>132442</xdr:colOff>
      <xdr:row>42</xdr:row>
      <xdr:rowOff>34471</xdr:rowOff>
    </xdr:from>
    <xdr:to>
      <xdr:col>17</xdr:col>
      <xdr:colOff>60779</xdr:colOff>
      <xdr:row>43</xdr:row>
      <xdr:rowOff>140607</xdr:rowOff>
    </xdr:to>
    <xdr:sp macro="" textlink="">
      <xdr:nvSpPr>
        <xdr:cNvPr id="44" name="CuadroTexto 43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 txBox="1"/>
      </xdr:nvSpPr>
      <xdr:spPr>
        <a:xfrm>
          <a:off x="17404442" y="9153071"/>
          <a:ext cx="1630137" cy="30933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Aspiración</a:t>
          </a:r>
        </a:p>
        <a:p>
          <a:endParaRPr lang="es-CL" sz="1100"/>
        </a:p>
        <a:p>
          <a:endParaRPr lang="es-CL" sz="1100"/>
        </a:p>
      </xdr:txBody>
    </xdr:sp>
    <xdr:clientData/>
  </xdr:twoCellAnchor>
  <xdr:twoCellAnchor>
    <xdr:from>
      <xdr:col>15</xdr:col>
      <xdr:colOff>107949</xdr:colOff>
      <xdr:row>44</xdr:row>
      <xdr:rowOff>185967</xdr:rowOff>
    </xdr:from>
    <xdr:to>
      <xdr:col>17</xdr:col>
      <xdr:colOff>36286</xdr:colOff>
      <xdr:row>46</xdr:row>
      <xdr:rowOff>88902</xdr:rowOff>
    </xdr:to>
    <xdr:sp macro="" textlink="">
      <xdr:nvSpPr>
        <xdr:cNvPr id="45" name="CuadroTexto 44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 txBox="1"/>
      </xdr:nvSpPr>
      <xdr:spPr>
        <a:xfrm>
          <a:off x="17379949" y="9710967"/>
          <a:ext cx="1630137" cy="3093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Cumplimiento</a:t>
          </a:r>
        </a:p>
      </xdr:txBody>
    </xdr:sp>
    <xdr:clientData/>
  </xdr:twoCellAnchor>
  <xdr:twoCellAnchor>
    <xdr:from>
      <xdr:col>10</xdr:col>
      <xdr:colOff>1444851</xdr:colOff>
      <xdr:row>47</xdr:row>
      <xdr:rowOff>16874</xdr:rowOff>
    </xdr:from>
    <xdr:to>
      <xdr:col>11</xdr:col>
      <xdr:colOff>101600</xdr:colOff>
      <xdr:row>48</xdr:row>
      <xdr:rowOff>101600</xdr:rowOff>
    </xdr:to>
    <xdr:sp macro="" textlink="G17">
      <xdr:nvSpPr>
        <xdr:cNvPr id="46" name="CuadroTexto 45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 txBox="1"/>
      </xdr:nvSpPr>
      <xdr:spPr>
        <a:xfrm>
          <a:off x="12201751" y="10151474"/>
          <a:ext cx="574449" cy="2879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B92D3AF-B45E-461E-8C29-22B7DE936BDD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5:58</a:t>
          </a:fld>
          <a:endParaRPr lang="es-CL" sz="1050"/>
        </a:p>
      </xdr:txBody>
    </xdr:sp>
    <xdr:clientData/>
  </xdr:twoCellAnchor>
  <xdr:twoCellAnchor>
    <xdr:from>
      <xdr:col>10</xdr:col>
      <xdr:colOff>0</xdr:colOff>
      <xdr:row>13</xdr:row>
      <xdr:rowOff>0</xdr:rowOff>
    </xdr:from>
    <xdr:to>
      <xdr:col>10</xdr:col>
      <xdr:colOff>5275035</xdr:colOff>
      <xdr:row>16</xdr:row>
      <xdr:rowOff>143334</xdr:rowOff>
    </xdr:to>
    <xdr:sp macro="" textlink="">
      <xdr:nvSpPr>
        <xdr:cNvPr id="47" name="CuadroTexto 17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 txBox="1"/>
      </xdr:nvSpPr>
      <xdr:spPr>
        <a:xfrm>
          <a:off x="11513820" y="2979420"/>
          <a:ext cx="5275035" cy="760554"/>
        </a:xfrm>
        <a:prstGeom prst="rect">
          <a:avLst/>
        </a:prstGeom>
        <a:solidFill>
          <a:schemeClr val="bg2">
            <a:lumMod val="95000"/>
          </a:schemeClr>
        </a:solidFill>
        <a:ln w="19050">
          <a:solidFill>
            <a:srgbClr val="FF0000"/>
          </a:solidFill>
        </a:ln>
      </xdr:spPr>
      <xdr:txBody>
        <a:bodyPr wrap="square" rtlCol="0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265113" indent="-265113">
            <a:tabLst>
              <a:tab pos="265113" algn="l"/>
            </a:tabLst>
          </a:pPr>
          <a:r>
            <a:rPr lang="es-CL" sz="900"/>
            <a:t>LU: </a:t>
          </a:r>
        </a:p>
        <a:p>
          <a:pPr marL="265113" indent="-265113">
            <a:tabLst>
              <a:tab pos="265113" algn="l"/>
            </a:tabLst>
          </a:pPr>
          <a:r>
            <a:rPr lang="es-CL" sz="900"/>
            <a:t>MA: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MI:</a:t>
          </a:r>
          <a:r>
            <a:rPr lang="es-ES" sz="900" baseline="0"/>
            <a:t>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JU: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VI:  .</a:t>
          </a:r>
          <a:endParaRPr lang="es-CL" sz="900"/>
        </a:p>
      </xdr:txBody>
    </xdr:sp>
    <xdr:clientData/>
  </xdr:twoCellAnchor>
  <xdr:twoCellAnchor>
    <xdr:from>
      <xdr:col>10</xdr:col>
      <xdr:colOff>109764</xdr:colOff>
      <xdr:row>47</xdr:row>
      <xdr:rowOff>9980</xdr:rowOff>
    </xdr:from>
    <xdr:to>
      <xdr:col>10</xdr:col>
      <xdr:colOff>667657</xdr:colOff>
      <xdr:row>48</xdr:row>
      <xdr:rowOff>105230</xdr:rowOff>
    </xdr:to>
    <xdr:sp macro="" textlink="G16">
      <xdr:nvSpPr>
        <xdr:cNvPr id="48" name="CuadroTexto 47">
          <a:extLst>
            <a:ext uri="{FF2B5EF4-FFF2-40B4-BE49-F238E27FC236}">
              <a16:creationId xmlns:a16="http://schemas.microsoft.com/office/drawing/2014/main" id="{C41EBFAB-ECDD-4DBD-A803-41D28B5E9625}"/>
            </a:ext>
          </a:extLst>
        </xdr:cNvPr>
        <xdr:cNvSpPr txBox="1"/>
      </xdr:nvSpPr>
      <xdr:spPr>
        <a:xfrm>
          <a:off x="10866664" y="10144580"/>
          <a:ext cx="55789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46AEE9B-74D4-4247-8BC3-3F2230E8AA5E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6:10</a:t>
          </a:fld>
          <a:endParaRPr lang="es-CL" sz="1050"/>
        </a:p>
      </xdr:txBody>
    </xdr:sp>
    <xdr:clientData/>
  </xdr:twoCellAnchor>
  <xdr:twoCellAnchor editAs="oneCell">
    <xdr:from>
      <xdr:col>2</xdr:col>
      <xdr:colOff>508000</xdr:colOff>
      <xdr:row>24</xdr:row>
      <xdr:rowOff>190500</xdr:rowOff>
    </xdr:from>
    <xdr:to>
      <xdr:col>6</xdr:col>
      <xdr:colOff>697375</xdr:colOff>
      <xdr:row>42</xdr:row>
      <xdr:rowOff>1825</xdr:rowOff>
    </xdr:to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514600" y="5651500"/>
          <a:ext cx="4608975" cy="346892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169635</xdr:colOff>
      <xdr:row>17</xdr:row>
      <xdr:rowOff>197528</xdr:rowOff>
    </xdr:from>
    <xdr:to>
      <xdr:col>19</xdr:col>
      <xdr:colOff>749300</xdr:colOff>
      <xdr:row>53</xdr:row>
      <xdr:rowOff>161017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41410</xdr:colOff>
      <xdr:row>51</xdr:row>
      <xdr:rowOff>76199</xdr:rowOff>
    </xdr:from>
    <xdr:to>
      <xdr:col>13</xdr:col>
      <xdr:colOff>609599</xdr:colOff>
      <xdr:row>52</xdr:row>
      <xdr:rowOff>139700</xdr:rowOff>
    </xdr:to>
    <xdr:sp macro="" textlink="G19">
      <xdr:nvSpPr>
        <xdr:cNvPr id="15" name="CuadroTexto 14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/>
      </xdr:nvSpPr>
      <xdr:spPr>
        <a:xfrm flipH="1">
          <a:off x="15675110" y="10833099"/>
          <a:ext cx="568189" cy="26670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E7D385A-72A3-4D2C-94A1-30A75ADBFE75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5:57</a:t>
          </a:fld>
          <a:endParaRPr lang="es-CL" sz="1050"/>
        </a:p>
      </xdr:txBody>
    </xdr:sp>
    <xdr:clientData/>
  </xdr:twoCellAnchor>
  <xdr:twoCellAnchor>
    <xdr:from>
      <xdr:col>11</xdr:col>
      <xdr:colOff>478516</xdr:colOff>
      <xdr:row>51</xdr:row>
      <xdr:rowOff>63500</xdr:rowOff>
    </xdr:from>
    <xdr:to>
      <xdr:col>12</xdr:col>
      <xdr:colOff>139700</xdr:colOff>
      <xdr:row>52</xdr:row>
      <xdr:rowOff>181430</xdr:rowOff>
    </xdr:to>
    <xdr:sp macro="" textlink="G18">
      <xdr:nvSpPr>
        <xdr:cNvPr id="16" name="CuadroTexto 15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/>
      </xdr:nvSpPr>
      <xdr:spPr>
        <a:xfrm flipH="1">
          <a:off x="14334216" y="10820400"/>
          <a:ext cx="588284" cy="32113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A9D2638C-6DCE-4721-9C8B-D2D552F7C723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5:55</a:t>
          </a:fld>
          <a:endParaRPr lang="es-CL" sz="1050"/>
        </a:p>
      </xdr:txBody>
    </xdr:sp>
    <xdr:clientData/>
  </xdr:twoCellAnchor>
  <xdr:twoCellAnchor>
    <xdr:from>
      <xdr:col>14</xdr:col>
      <xdr:colOff>538478</xdr:colOff>
      <xdr:row>51</xdr:row>
      <xdr:rowOff>50800</xdr:rowOff>
    </xdr:from>
    <xdr:to>
      <xdr:col>15</xdr:col>
      <xdr:colOff>228600</xdr:colOff>
      <xdr:row>52</xdr:row>
      <xdr:rowOff>152400</xdr:rowOff>
    </xdr:to>
    <xdr:sp macro="" textlink="G20">
      <xdr:nvSpPr>
        <xdr:cNvPr id="17" name="CuadroTexto 16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/>
      </xdr:nvSpPr>
      <xdr:spPr>
        <a:xfrm flipH="1">
          <a:off x="17023078" y="10807700"/>
          <a:ext cx="541022" cy="304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E5A5A6B-E513-4C35-9B95-0809204FBE31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5:58</a:t>
          </a:fld>
          <a:endParaRPr lang="es-CL" sz="1050"/>
        </a:p>
      </xdr:txBody>
    </xdr:sp>
    <xdr:clientData/>
  </xdr:twoCellAnchor>
  <xdr:twoCellAnchor>
    <xdr:from>
      <xdr:col>17</xdr:col>
      <xdr:colOff>312965</xdr:colOff>
      <xdr:row>41</xdr:row>
      <xdr:rowOff>152400</xdr:rowOff>
    </xdr:from>
    <xdr:to>
      <xdr:col>18</xdr:col>
      <xdr:colOff>749300</xdr:colOff>
      <xdr:row>43</xdr:row>
      <xdr:rowOff>20864</xdr:rowOff>
    </xdr:to>
    <xdr:sp macro="" textlink="">
      <xdr:nvSpPr>
        <xdr:cNvPr id="18" name="CuadroTexto 17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19350265" y="8877300"/>
          <a:ext cx="1287235" cy="27486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PIPA NORTE</a:t>
          </a:r>
        </a:p>
      </xdr:txBody>
    </xdr:sp>
    <xdr:clientData/>
  </xdr:twoCellAnchor>
  <xdr:twoCellAnchor>
    <xdr:from>
      <xdr:col>18</xdr:col>
      <xdr:colOff>547912</xdr:colOff>
      <xdr:row>44</xdr:row>
      <xdr:rowOff>7258</xdr:rowOff>
    </xdr:from>
    <xdr:to>
      <xdr:col>19</xdr:col>
      <xdr:colOff>254905</xdr:colOff>
      <xdr:row>45</xdr:row>
      <xdr:rowOff>102508</xdr:rowOff>
    </xdr:to>
    <xdr:sp macro="" textlink="G21">
      <xdr:nvSpPr>
        <xdr:cNvPr id="19" name="CuadroTexto 18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/>
      </xdr:nvSpPr>
      <xdr:spPr>
        <a:xfrm>
          <a:off x="19369312" y="9341758"/>
          <a:ext cx="55789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B387D8D-F093-4238-B980-BB02855E0B8B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5:56</a:t>
          </a:fld>
          <a:endParaRPr lang="es-CL" sz="1050"/>
        </a:p>
      </xdr:txBody>
    </xdr:sp>
    <xdr:clientData/>
  </xdr:twoCellAnchor>
  <xdr:twoCellAnchor>
    <xdr:from>
      <xdr:col>18</xdr:col>
      <xdr:colOff>547912</xdr:colOff>
      <xdr:row>46</xdr:row>
      <xdr:rowOff>71666</xdr:rowOff>
    </xdr:from>
    <xdr:to>
      <xdr:col>19</xdr:col>
      <xdr:colOff>254905</xdr:colOff>
      <xdr:row>47</xdr:row>
      <xdr:rowOff>166009</xdr:rowOff>
    </xdr:to>
    <xdr:sp macro="" textlink="G22">
      <xdr:nvSpPr>
        <xdr:cNvPr id="20" name="CuadroTexto 19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 txBox="1"/>
      </xdr:nvSpPr>
      <xdr:spPr>
        <a:xfrm>
          <a:off x="20436112" y="9812566"/>
          <a:ext cx="557893" cy="2975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7004C28-1588-4759-9F86-D5305DD3B3F9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6:00</a:t>
          </a:fld>
          <a:endParaRPr lang="es-CL" sz="1050"/>
        </a:p>
      </xdr:txBody>
    </xdr:sp>
    <xdr:clientData/>
  </xdr:twoCellAnchor>
  <xdr:twoCellAnchor>
    <xdr:from>
      <xdr:col>18</xdr:col>
      <xdr:colOff>534305</xdr:colOff>
      <xdr:row>49</xdr:row>
      <xdr:rowOff>24494</xdr:rowOff>
    </xdr:from>
    <xdr:to>
      <xdr:col>19</xdr:col>
      <xdr:colOff>241298</xdr:colOff>
      <xdr:row>50</xdr:row>
      <xdr:rowOff>119744</xdr:rowOff>
    </xdr:to>
    <xdr:sp macro="" textlink="G23">
      <xdr:nvSpPr>
        <xdr:cNvPr id="21" name="CuadroTexto 20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/>
      </xdr:nvSpPr>
      <xdr:spPr>
        <a:xfrm>
          <a:off x="19355705" y="10374994"/>
          <a:ext cx="55789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C3C6CCF-9DAD-4511-9A80-66EC5E2168A7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99%</a:t>
          </a:fld>
          <a:endParaRPr lang="es-CL" sz="1050"/>
        </a:p>
      </xdr:txBody>
    </xdr:sp>
    <xdr:clientData/>
  </xdr:twoCellAnchor>
  <xdr:twoCellAnchor>
    <xdr:from>
      <xdr:col>16</xdr:col>
      <xdr:colOff>699406</xdr:colOff>
      <xdr:row>44</xdr:row>
      <xdr:rowOff>16330</xdr:rowOff>
    </xdr:from>
    <xdr:to>
      <xdr:col>17</xdr:col>
      <xdr:colOff>752928</xdr:colOff>
      <xdr:row>45</xdr:row>
      <xdr:rowOff>122465</xdr:rowOff>
    </xdr:to>
    <xdr:sp macro="" textlink="">
      <xdr:nvSpPr>
        <xdr:cNvPr id="22" name="CuadroTexto 21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 txBox="1"/>
      </xdr:nvSpPr>
      <xdr:spPr>
        <a:xfrm>
          <a:off x="18885806" y="9350830"/>
          <a:ext cx="904422" cy="3093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 baseline="0"/>
            <a:t>Disponible</a:t>
          </a:r>
        </a:p>
        <a:p>
          <a:endParaRPr lang="es-CL" sz="1100"/>
        </a:p>
      </xdr:txBody>
    </xdr:sp>
    <xdr:clientData/>
  </xdr:twoCellAnchor>
  <xdr:twoCellAnchor>
    <xdr:from>
      <xdr:col>16</xdr:col>
      <xdr:colOff>698862</xdr:colOff>
      <xdr:row>46</xdr:row>
      <xdr:rowOff>46265</xdr:rowOff>
    </xdr:from>
    <xdr:to>
      <xdr:col>17</xdr:col>
      <xdr:colOff>782864</xdr:colOff>
      <xdr:row>47</xdr:row>
      <xdr:rowOff>152401</xdr:rowOff>
    </xdr:to>
    <xdr:sp macro="" textlink="">
      <xdr:nvSpPr>
        <xdr:cNvPr id="23" name="CuadroTexto 22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 txBox="1"/>
      </xdr:nvSpPr>
      <xdr:spPr>
        <a:xfrm>
          <a:off x="18885262" y="9787165"/>
          <a:ext cx="934902" cy="30933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Aspiración</a:t>
          </a:r>
        </a:p>
        <a:p>
          <a:endParaRPr lang="es-CL" sz="1100"/>
        </a:p>
        <a:p>
          <a:endParaRPr lang="es-CL" sz="1100"/>
        </a:p>
      </xdr:txBody>
    </xdr:sp>
    <xdr:clientData/>
  </xdr:twoCellAnchor>
  <xdr:twoCellAnchor>
    <xdr:from>
      <xdr:col>16</xdr:col>
      <xdr:colOff>704849</xdr:colOff>
      <xdr:row>48</xdr:row>
      <xdr:rowOff>198668</xdr:rowOff>
    </xdr:from>
    <xdr:to>
      <xdr:col>17</xdr:col>
      <xdr:colOff>758371</xdr:colOff>
      <xdr:row>50</xdr:row>
      <xdr:rowOff>100695</xdr:rowOff>
    </xdr:to>
    <xdr:sp macro="" textlink="">
      <xdr:nvSpPr>
        <xdr:cNvPr id="24" name="CuadroTexto 23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 txBox="1"/>
      </xdr:nvSpPr>
      <xdr:spPr>
        <a:xfrm>
          <a:off x="18891249" y="10345968"/>
          <a:ext cx="904422" cy="30842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Cumplimiento</a:t>
          </a:r>
        </a:p>
      </xdr:txBody>
    </xdr:sp>
    <xdr:clientData/>
  </xdr:twoCellAnchor>
  <xdr:twoCellAnchor>
    <xdr:from>
      <xdr:col>9</xdr:col>
      <xdr:colOff>1137557</xdr:colOff>
      <xdr:row>51</xdr:row>
      <xdr:rowOff>95252</xdr:rowOff>
    </xdr:from>
    <xdr:to>
      <xdr:col>10</xdr:col>
      <xdr:colOff>361950</xdr:colOff>
      <xdr:row>52</xdr:row>
      <xdr:rowOff>189595</xdr:rowOff>
    </xdr:to>
    <xdr:sp macro="" textlink="G16">
      <xdr:nvSpPr>
        <xdr:cNvPr id="25" name="CuadroTexto 24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 txBox="1"/>
      </xdr:nvSpPr>
      <xdr:spPr>
        <a:xfrm>
          <a:off x="11615057" y="10852152"/>
          <a:ext cx="557893" cy="2975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46AEE9B-74D4-4247-8BC3-3F2230E8AA5E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5:52</a:t>
          </a:fld>
          <a:endParaRPr lang="es-CL" sz="1050"/>
        </a:p>
      </xdr:txBody>
    </xdr:sp>
    <xdr:clientData/>
  </xdr:twoCellAnchor>
  <xdr:twoCellAnchor>
    <xdr:from>
      <xdr:col>10</xdr:col>
      <xdr:colOff>1159282</xdr:colOff>
      <xdr:row>51</xdr:row>
      <xdr:rowOff>101600</xdr:rowOff>
    </xdr:from>
    <xdr:to>
      <xdr:col>10</xdr:col>
      <xdr:colOff>1752600</xdr:colOff>
      <xdr:row>52</xdr:row>
      <xdr:rowOff>192316</xdr:rowOff>
    </xdr:to>
    <xdr:sp macro="" textlink="G17">
      <xdr:nvSpPr>
        <xdr:cNvPr id="26" name="CuadroTexto 25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 txBox="1"/>
      </xdr:nvSpPr>
      <xdr:spPr>
        <a:xfrm flipH="1">
          <a:off x="12970282" y="10858500"/>
          <a:ext cx="593318" cy="2939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B92D3AF-B45E-461E-8C29-22B7DE936BDD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6:00</a:t>
          </a:fld>
          <a:endParaRPr lang="es-CL" sz="1050"/>
        </a:p>
      </xdr:txBody>
    </xdr:sp>
    <xdr:clientData/>
  </xdr:twoCellAnchor>
  <xdr:twoCellAnchor>
    <xdr:from>
      <xdr:col>10</xdr:col>
      <xdr:colOff>0</xdr:colOff>
      <xdr:row>13</xdr:row>
      <xdr:rowOff>0</xdr:rowOff>
    </xdr:from>
    <xdr:to>
      <xdr:col>10</xdr:col>
      <xdr:colOff>5275035</xdr:colOff>
      <xdr:row>16</xdr:row>
      <xdr:rowOff>143334</xdr:rowOff>
    </xdr:to>
    <xdr:sp macro="" textlink="">
      <xdr:nvSpPr>
        <xdr:cNvPr id="27" name="CuadroTexto 17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 txBox="1"/>
      </xdr:nvSpPr>
      <xdr:spPr>
        <a:xfrm>
          <a:off x="11513820" y="2979420"/>
          <a:ext cx="5275035" cy="760554"/>
        </a:xfrm>
        <a:prstGeom prst="rect">
          <a:avLst/>
        </a:prstGeom>
        <a:solidFill>
          <a:schemeClr val="bg2">
            <a:lumMod val="95000"/>
          </a:schemeClr>
        </a:solidFill>
        <a:ln w="19050">
          <a:solidFill>
            <a:srgbClr val="FF0000"/>
          </a:solidFill>
        </a:ln>
      </xdr:spPr>
      <xdr:txBody>
        <a:bodyPr wrap="square" rtlCol="0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265113" indent="-265113">
            <a:tabLst>
              <a:tab pos="265113" algn="l"/>
            </a:tabLst>
          </a:pPr>
          <a:r>
            <a:rPr lang="es-CL" sz="900"/>
            <a:t>LU: </a:t>
          </a:r>
        </a:p>
        <a:p>
          <a:pPr marL="265113" indent="-265113">
            <a:tabLst>
              <a:tab pos="265113" algn="l"/>
            </a:tabLst>
          </a:pPr>
          <a:r>
            <a:rPr lang="es-CL" sz="900"/>
            <a:t>MA: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MI:</a:t>
          </a:r>
          <a:r>
            <a:rPr lang="es-ES" sz="900" baseline="0"/>
            <a:t>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JU: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VI:  .</a:t>
          </a:r>
          <a:endParaRPr lang="es-CL" sz="900"/>
        </a:p>
      </xdr:txBody>
    </xdr:sp>
    <xdr:clientData/>
  </xdr:twoCellAnchor>
  <xdr:twoCellAnchor editAs="oneCell">
    <xdr:from>
      <xdr:col>3</xdr:col>
      <xdr:colOff>152401</xdr:colOff>
      <xdr:row>26</xdr:row>
      <xdr:rowOff>68427</xdr:rowOff>
    </xdr:from>
    <xdr:to>
      <xdr:col>7</xdr:col>
      <xdr:colOff>106681</xdr:colOff>
      <xdr:row>31</xdr:row>
      <xdr:rowOff>114300</xdr:rowOff>
    </xdr:to>
    <xdr:pic>
      <xdr:nvPicPr>
        <xdr:cNvPr id="28" name="Imagen 2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352801" y="5745327"/>
          <a:ext cx="4373880" cy="1061873"/>
        </a:xfrm>
        <a:prstGeom prst="rect">
          <a:avLst/>
        </a:prstGeom>
      </xdr:spPr>
    </xdr:pic>
    <xdr:clientData/>
  </xdr:twoCellAnchor>
  <xdr:twoCellAnchor editAs="oneCell">
    <xdr:from>
      <xdr:col>1</xdr:col>
      <xdr:colOff>431800</xdr:colOff>
      <xdr:row>24</xdr:row>
      <xdr:rowOff>127000</xdr:rowOff>
    </xdr:from>
    <xdr:to>
      <xdr:col>5</xdr:col>
      <xdr:colOff>1078375</xdr:colOff>
      <xdr:row>41</xdr:row>
      <xdr:rowOff>141525</xdr:rowOff>
    </xdr:to>
    <xdr:pic>
      <xdr:nvPicPr>
        <xdr:cNvPr id="30" name="Imagen 2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854200" y="5397500"/>
          <a:ext cx="4596275" cy="346892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179795</xdr:colOff>
      <xdr:row>17</xdr:row>
      <xdr:rowOff>134028</xdr:rowOff>
    </xdr:from>
    <xdr:to>
      <xdr:col>18</xdr:col>
      <xdr:colOff>101600</xdr:colOff>
      <xdr:row>53</xdr:row>
      <xdr:rowOff>97517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892310</xdr:colOff>
      <xdr:row>51</xdr:row>
      <xdr:rowOff>139701</xdr:rowOff>
    </xdr:from>
    <xdr:to>
      <xdr:col>13</xdr:col>
      <xdr:colOff>419099</xdr:colOff>
      <xdr:row>53</xdr:row>
      <xdr:rowOff>27217</xdr:rowOff>
    </xdr:to>
    <xdr:sp macro="" textlink="G19">
      <xdr:nvSpPr>
        <xdr:cNvPr id="15" name="CuadroTexto 14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/>
      </xdr:nvSpPr>
      <xdr:spPr>
        <a:xfrm flipH="1">
          <a:off x="15014710" y="10947401"/>
          <a:ext cx="542789" cy="2939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E7D385A-72A3-4D2C-94A1-30A75ADBFE75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5:54</a:t>
          </a:fld>
          <a:endParaRPr lang="es-CL" sz="1050"/>
        </a:p>
      </xdr:txBody>
    </xdr:sp>
    <xdr:clientData/>
  </xdr:twoCellAnchor>
  <xdr:twoCellAnchor>
    <xdr:from>
      <xdr:col>11</xdr:col>
      <xdr:colOff>859516</xdr:colOff>
      <xdr:row>51</xdr:row>
      <xdr:rowOff>165100</xdr:rowOff>
    </xdr:from>
    <xdr:to>
      <xdr:col>12</xdr:col>
      <xdr:colOff>203200</xdr:colOff>
      <xdr:row>53</xdr:row>
      <xdr:rowOff>54430</xdr:rowOff>
    </xdr:to>
    <xdr:sp macro="" textlink="G18">
      <xdr:nvSpPr>
        <xdr:cNvPr id="16" name="CuadroTexto 15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/>
      </xdr:nvSpPr>
      <xdr:spPr>
        <a:xfrm flipH="1">
          <a:off x="13788116" y="10972800"/>
          <a:ext cx="537484" cy="29573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6325B6A7-A311-4833-BC91-A814A1F8764C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5:48</a:t>
          </a:fld>
          <a:endParaRPr lang="es-CL" sz="1050"/>
        </a:p>
      </xdr:txBody>
    </xdr:sp>
    <xdr:clientData/>
  </xdr:twoCellAnchor>
  <xdr:twoCellAnchor>
    <xdr:from>
      <xdr:col>14</xdr:col>
      <xdr:colOff>640079</xdr:colOff>
      <xdr:row>51</xdr:row>
      <xdr:rowOff>127000</xdr:rowOff>
    </xdr:from>
    <xdr:to>
      <xdr:col>14</xdr:col>
      <xdr:colOff>1219200</xdr:colOff>
      <xdr:row>53</xdr:row>
      <xdr:rowOff>27216</xdr:rowOff>
    </xdr:to>
    <xdr:sp macro="" textlink="G20">
      <xdr:nvSpPr>
        <xdr:cNvPr id="17" name="CuadroTexto 16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/>
      </xdr:nvSpPr>
      <xdr:spPr>
        <a:xfrm flipH="1">
          <a:off x="16248379" y="10934700"/>
          <a:ext cx="579121" cy="3066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E5A5A6B-E513-4C35-9B95-0809204FBE31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6:02</a:t>
          </a:fld>
          <a:endParaRPr lang="es-CL" sz="1050"/>
        </a:p>
      </xdr:txBody>
    </xdr:sp>
    <xdr:clientData/>
  </xdr:twoCellAnchor>
  <xdr:twoCellAnchor>
    <xdr:from>
      <xdr:col>16</xdr:col>
      <xdr:colOff>224065</xdr:colOff>
      <xdr:row>41</xdr:row>
      <xdr:rowOff>118838</xdr:rowOff>
    </xdr:from>
    <xdr:to>
      <xdr:col>17</xdr:col>
      <xdr:colOff>901700</xdr:colOff>
      <xdr:row>42</xdr:row>
      <xdr:rowOff>173264</xdr:rowOff>
    </xdr:to>
    <xdr:sp macro="" textlink="">
      <xdr:nvSpPr>
        <xdr:cNvPr id="18" name="CuadroTexto 17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17953265" y="8894538"/>
          <a:ext cx="1985735" cy="2576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DIABLO</a:t>
          </a:r>
          <a:r>
            <a:rPr lang="es-CL" sz="1100" baseline="0"/>
            <a:t> REGIMIENTO</a:t>
          </a:r>
          <a:endParaRPr lang="es-CL" sz="1100"/>
        </a:p>
      </xdr:txBody>
    </xdr:sp>
    <xdr:clientData/>
  </xdr:twoCellAnchor>
  <xdr:twoCellAnchor>
    <xdr:from>
      <xdr:col>17</xdr:col>
      <xdr:colOff>230412</xdr:colOff>
      <xdr:row>44</xdr:row>
      <xdr:rowOff>8164</xdr:rowOff>
    </xdr:from>
    <xdr:to>
      <xdr:col>17</xdr:col>
      <xdr:colOff>872873</xdr:colOff>
      <xdr:row>45</xdr:row>
      <xdr:rowOff>102508</xdr:rowOff>
    </xdr:to>
    <xdr:sp macro="" textlink="G21">
      <xdr:nvSpPr>
        <xdr:cNvPr id="19" name="CuadroTexto 18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/>
      </xdr:nvSpPr>
      <xdr:spPr>
        <a:xfrm>
          <a:off x="19267712" y="9393464"/>
          <a:ext cx="642461" cy="29754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B387D8D-F093-4238-B980-BB02855E0B8B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5:56</a:t>
          </a:fld>
          <a:endParaRPr lang="es-CL" sz="1050"/>
        </a:p>
      </xdr:txBody>
    </xdr:sp>
    <xdr:clientData/>
  </xdr:twoCellAnchor>
  <xdr:twoCellAnchor>
    <xdr:from>
      <xdr:col>17</xdr:col>
      <xdr:colOff>230412</xdr:colOff>
      <xdr:row>46</xdr:row>
      <xdr:rowOff>110669</xdr:rowOff>
    </xdr:from>
    <xdr:to>
      <xdr:col>17</xdr:col>
      <xdr:colOff>872873</xdr:colOff>
      <xdr:row>48</xdr:row>
      <xdr:rowOff>909</xdr:rowOff>
    </xdr:to>
    <xdr:sp macro="" textlink="G22">
      <xdr:nvSpPr>
        <xdr:cNvPr id="25" name="CuadroTexto 2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 txBox="1"/>
      </xdr:nvSpPr>
      <xdr:spPr>
        <a:xfrm>
          <a:off x="19267712" y="9902369"/>
          <a:ext cx="642461" cy="2966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7004C28-1588-4759-9F86-D5305DD3B3F9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6:00</a:t>
          </a:fld>
          <a:endParaRPr lang="es-CL" sz="1050"/>
        </a:p>
      </xdr:txBody>
    </xdr:sp>
    <xdr:clientData/>
  </xdr:twoCellAnchor>
  <xdr:twoCellAnchor>
    <xdr:from>
      <xdr:col>17</xdr:col>
      <xdr:colOff>216805</xdr:colOff>
      <xdr:row>49</xdr:row>
      <xdr:rowOff>25400</xdr:rowOff>
    </xdr:from>
    <xdr:to>
      <xdr:col>17</xdr:col>
      <xdr:colOff>889000</xdr:colOff>
      <xdr:row>50</xdr:row>
      <xdr:rowOff>119744</xdr:rowOff>
    </xdr:to>
    <xdr:sp macro="" textlink="G23">
      <xdr:nvSpPr>
        <xdr:cNvPr id="27" name="CuadroTexto 2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/>
      </xdr:nvSpPr>
      <xdr:spPr>
        <a:xfrm>
          <a:off x="19254105" y="10426700"/>
          <a:ext cx="672195" cy="29754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C3C6CCF-9DAD-4511-9A80-66EC5E2168A7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99%</a:t>
          </a:fld>
          <a:endParaRPr lang="es-CL" sz="1050"/>
        </a:p>
      </xdr:txBody>
    </xdr:sp>
    <xdr:clientData/>
  </xdr:twoCellAnchor>
  <xdr:twoCellAnchor>
    <xdr:from>
      <xdr:col>16</xdr:col>
      <xdr:colOff>115206</xdr:colOff>
      <xdr:row>44</xdr:row>
      <xdr:rowOff>16330</xdr:rowOff>
    </xdr:from>
    <xdr:to>
      <xdr:col>17</xdr:col>
      <xdr:colOff>143328</xdr:colOff>
      <xdr:row>45</xdr:row>
      <xdr:rowOff>122465</xdr:rowOff>
    </xdr:to>
    <xdr:sp macro="" textlink="">
      <xdr:nvSpPr>
        <xdr:cNvPr id="28" name="CuadroTexto 27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 txBox="1"/>
      </xdr:nvSpPr>
      <xdr:spPr>
        <a:xfrm>
          <a:off x="17844406" y="9401630"/>
          <a:ext cx="1336222" cy="3093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 baseline="0"/>
            <a:t>Disponible</a:t>
          </a:r>
        </a:p>
        <a:p>
          <a:endParaRPr lang="es-CL" sz="1100"/>
        </a:p>
      </xdr:txBody>
    </xdr:sp>
    <xdr:clientData/>
  </xdr:twoCellAnchor>
  <xdr:twoCellAnchor>
    <xdr:from>
      <xdr:col>16</xdr:col>
      <xdr:colOff>145142</xdr:colOff>
      <xdr:row>46</xdr:row>
      <xdr:rowOff>46265</xdr:rowOff>
    </xdr:from>
    <xdr:to>
      <xdr:col>17</xdr:col>
      <xdr:colOff>173264</xdr:colOff>
      <xdr:row>47</xdr:row>
      <xdr:rowOff>152401</xdr:rowOff>
    </xdr:to>
    <xdr:sp macro="" textlink="">
      <xdr:nvSpPr>
        <xdr:cNvPr id="29" name="CuadroTexto 28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 txBox="1"/>
      </xdr:nvSpPr>
      <xdr:spPr>
        <a:xfrm>
          <a:off x="17874342" y="9837965"/>
          <a:ext cx="1336222" cy="30933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Aspiración</a:t>
          </a:r>
        </a:p>
        <a:p>
          <a:endParaRPr lang="es-CL" sz="1100"/>
        </a:p>
        <a:p>
          <a:endParaRPr lang="es-CL" sz="1100"/>
        </a:p>
      </xdr:txBody>
    </xdr:sp>
    <xdr:clientData/>
  </xdr:twoCellAnchor>
  <xdr:twoCellAnchor>
    <xdr:from>
      <xdr:col>16</xdr:col>
      <xdr:colOff>120649</xdr:colOff>
      <xdr:row>48</xdr:row>
      <xdr:rowOff>198668</xdr:rowOff>
    </xdr:from>
    <xdr:to>
      <xdr:col>17</xdr:col>
      <xdr:colOff>148771</xdr:colOff>
      <xdr:row>50</xdr:row>
      <xdr:rowOff>100695</xdr:rowOff>
    </xdr:to>
    <xdr:sp macro="" textlink="">
      <xdr:nvSpPr>
        <xdr:cNvPr id="30" name="CuadroTexto 29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 txBox="1"/>
      </xdr:nvSpPr>
      <xdr:spPr>
        <a:xfrm>
          <a:off x="17849849" y="10396768"/>
          <a:ext cx="1336222" cy="30842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Cumplimiento</a:t>
          </a:r>
        </a:p>
      </xdr:txBody>
    </xdr:sp>
    <xdr:clientData/>
  </xdr:twoCellAnchor>
  <xdr:twoCellAnchor>
    <xdr:from>
      <xdr:col>9</xdr:col>
      <xdr:colOff>1061357</xdr:colOff>
      <xdr:row>52</xdr:row>
      <xdr:rowOff>0</xdr:rowOff>
    </xdr:from>
    <xdr:to>
      <xdr:col>10</xdr:col>
      <xdr:colOff>406400</xdr:colOff>
      <xdr:row>53</xdr:row>
      <xdr:rowOff>62595</xdr:rowOff>
    </xdr:to>
    <xdr:sp macro="" textlink="G16">
      <xdr:nvSpPr>
        <xdr:cNvPr id="34" name="CuadroTexto 33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 txBox="1"/>
      </xdr:nvSpPr>
      <xdr:spPr>
        <a:xfrm>
          <a:off x="11322957" y="11010900"/>
          <a:ext cx="538843" cy="26579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46AEE9B-74D4-4247-8BC3-3F2230E8AA5E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5:57</a:t>
          </a:fld>
          <a:endParaRPr lang="es-CL" sz="1050"/>
        </a:p>
      </xdr:txBody>
    </xdr:sp>
    <xdr:clientData/>
  </xdr:twoCellAnchor>
  <xdr:twoCellAnchor>
    <xdr:from>
      <xdr:col>10</xdr:col>
      <xdr:colOff>1086529</xdr:colOff>
      <xdr:row>51</xdr:row>
      <xdr:rowOff>173266</xdr:rowOff>
    </xdr:from>
    <xdr:to>
      <xdr:col>11</xdr:col>
      <xdr:colOff>117882</xdr:colOff>
      <xdr:row>53</xdr:row>
      <xdr:rowOff>65316</xdr:rowOff>
    </xdr:to>
    <xdr:sp macro="" textlink="G17">
      <xdr:nvSpPr>
        <xdr:cNvPr id="35" name="CuadroTexto 34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 txBox="1"/>
      </xdr:nvSpPr>
      <xdr:spPr>
        <a:xfrm>
          <a:off x="12541929" y="10980966"/>
          <a:ext cx="50455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B92D3AF-B45E-461E-8C29-22B7DE936BDD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6:00</a:t>
          </a:fld>
          <a:endParaRPr lang="es-CL" sz="1050"/>
        </a:p>
      </xdr:txBody>
    </xdr:sp>
    <xdr:clientData/>
  </xdr:twoCellAnchor>
  <xdr:twoCellAnchor>
    <xdr:from>
      <xdr:col>10</xdr:col>
      <xdr:colOff>0</xdr:colOff>
      <xdr:row>13</xdr:row>
      <xdr:rowOff>0</xdr:rowOff>
    </xdr:from>
    <xdr:to>
      <xdr:col>10</xdr:col>
      <xdr:colOff>5275035</xdr:colOff>
      <xdr:row>16</xdr:row>
      <xdr:rowOff>143334</xdr:rowOff>
    </xdr:to>
    <xdr:sp macro="" textlink="">
      <xdr:nvSpPr>
        <xdr:cNvPr id="36" name="CuadroTexto 17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 txBox="1"/>
      </xdr:nvSpPr>
      <xdr:spPr>
        <a:xfrm>
          <a:off x="11513820" y="2979420"/>
          <a:ext cx="5275035" cy="760554"/>
        </a:xfrm>
        <a:prstGeom prst="rect">
          <a:avLst/>
        </a:prstGeom>
        <a:solidFill>
          <a:schemeClr val="bg2">
            <a:lumMod val="95000"/>
          </a:schemeClr>
        </a:solidFill>
        <a:ln w="19050">
          <a:solidFill>
            <a:srgbClr val="FF0000"/>
          </a:solidFill>
        </a:ln>
      </xdr:spPr>
      <xdr:txBody>
        <a:bodyPr wrap="square" rtlCol="0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265113" indent="-265113">
            <a:tabLst>
              <a:tab pos="265113" algn="l"/>
            </a:tabLst>
          </a:pPr>
          <a:r>
            <a:rPr lang="es-CL" sz="900"/>
            <a:t>LU: </a:t>
          </a:r>
        </a:p>
        <a:p>
          <a:pPr marL="265113" indent="-265113">
            <a:tabLst>
              <a:tab pos="265113" algn="l"/>
            </a:tabLst>
          </a:pPr>
          <a:r>
            <a:rPr lang="es-CL" sz="900"/>
            <a:t>MA: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MI:</a:t>
          </a:r>
          <a:r>
            <a:rPr lang="es-ES" sz="900" baseline="0"/>
            <a:t>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JU: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VI:  .</a:t>
          </a:r>
          <a:endParaRPr lang="es-CL" sz="900"/>
        </a:p>
      </xdr:txBody>
    </xdr:sp>
    <xdr:clientData/>
  </xdr:twoCellAnchor>
  <xdr:twoCellAnchor editAs="oneCell">
    <xdr:from>
      <xdr:col>2</xdr:col>
      <xdr:colOff>571501</xdr:colOff>
      <xdr:row>25</xdr:row>
      <xdr:rowOff>81127</xdr:rowOff>
    </xdr:from>
    <xdr:to>
      <xdr:col>6</xdr:col>
      <xdr:colOff>502921</xdr:colOff>
      <xdr:row>30</xdr:row>
      <xdr:rowOff>127000</xdr:rowOff>
    </xdr:to>
    <xdr:pic>
      <xdr:nvPicPr>
        <xdr:cNvPr id="37" name="Imagen 3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578101" y="5605627"/>
          <a:ext cx="4376420" cy="1061873"/>
        </a:xfrm>
        <a:prstGeom prst="rect">
          <a:avLst/>
        </a:prstGeom>
      </xdr:spPr>
    </xdr:pic>
    <xdr:clientData/>
  </xdr:twoCellAnchor>
  <xdr:twoCellAnchor editAs="oneCell">
    <xdr:from>
      <xdr:col>1</xdr:col>
      <xdr:colOff>431800</xdr:colOff>
      <xdr:row>24</xdr:row>
      <xdr:rowOff>0</xdr:rowOff>
    </xdr:from>
    <xdr:to>
      <xdr:col>5</xdr:col>
      <xdr:colOff>1205375</xdr:colOff>
      <xdr:row>41</xdr:row>
      <xdr:rowOff>14525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854200" y="5321300"/>
          <a:ext cx="4596275" cy="346892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12155</xdr:colOff>
      <xdr:row>17</xdr:row>
      <xdr:rowOff>19728</xdr:rowOff>
    </xdr:from>
    <xdr:to>
      <xdr:col>20</xdr:col>
      <xdr:colOff>558800</xdr:colOff>
      <xdr:row>52</xdr:row>
      <xdr:rowOff>186417</xdr:rowOff>
    </xdr:to>
    <xdr:graphicFrame macro="">
      <xdr:nvGraphicFramePr>
        <xdr:cNvPr id="28" name="Gráfico 2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483370</xdr:colOff>
      <xdr:row>51</xdr:row>
      <xdr:rowOff>177800</xdr:rowOff>
    </xdr:from>
    <xdr:to>
      <xdr:col>14</xdr:col>
      <xdr:colOff>139699</xdr:colOff>
      <xdr:row>53</xdr:row>
      <xdr:rowOff>27216</xdr:rowOff>
    </xdr:to>
    <xdr:sp macro="" textlink="G19">
      <xdr:nvSpPr>
        <xdr:cNvPr id="29" name="CuadroTexto 2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/>
      </xdr:nvSpPr>
      <xdr:spPr>
        <a:xfrm flipH="1">
          <a:off x="13881870" y="11176000"/>
          <a:ext cx="507229" cy="2558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E7D385A-72A3-4D2C-94A1-30A75ADBFE75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10:25</a:t>
          </a:fld>
          <a:endParaRPr lang="es-CL" sz="1050"/>
        </a:p>
      </xdr:txBody>
    </xdr:sp>
    <xdr:clientData/>
  </xdr:twoCellAnchor>
  <xdr:twoCellAnchor>
    <xdr:from>
      <xdr:col>12</xdr:col>
      <xdr:colOff>82276</xdr:colOff>
      <xdr:row>51</xdr:row>
      <xdr:rowOff>165100</xdr:rowOff>
    </xdr:from>
    <xdr:to>
      <xdr:col>12</xdr:col>
      <xdr:colOff>635000</xdr:colOff>
      <xdr:row>53</xdr:row>
      <xdr:rowOff>63500</xdr:rowOff>
    </xdr:to>
    <xdr:sp macro="" textlink="G18">
      <xdr:nvSpPr>
        <xdr:cNvPr id="30" name="CuadroTexto 2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/>
      </xdr:nvSpPr>
      <xdr:spPr>
        <a:xfrm flipH="1">
          <a:off x="12629876" y="11163300"/>
          <a:ext cx="552724" cy="304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6325B6A7-A311-4833-BC91-A814A1F8764C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10:50</a:t>
          </a:fld>
          <a:endParaRPr lang="es-CL" sz="1050"/>
        </a:p>
      </xdr:txBody>
    </xdr:sp>
    <xdr:clientData/>
  </xdr:twoCellAnchor>
  <xdr:twoCellAnchor>
    <xdr:from>
      <xdr:col>15</xdr:col>
      <xdr:colOff>294639</xdr:colOff>
      <xdr:row>51</xdr:row>
      <xdr:rowOff>165100</xdr:rowOff>
    </xdr:from>
    <xdr:to>
      <xdr:col>15</xdr:col>
      <xdr:colOff>825500</xdr:colOff>
      <xdr:row>52</xdr:row>
      <xdr:rowOff>192316</xdr:rowOff>
    </xdr:to>
    <xdr:sp macro="" textlink="G20">
      <xdr:nvSpPr>
        <xdr:cNvPr id="31" name="CuadroTexto 3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/>
      </xdr:nvSpPr>
      <xdr:spPr>
        <a:xfrm flipH="1">
          <a:off x="15394939" y="11163300"/>
          <a:ext cx="530861" cy="2304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E5A5A6B-E513-4C35-9B95-0809204FBE31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10:24</a:t>
          </a:fld>
          <a:endParaRPr lang="es-CL" sz="1050"/>
        </a:p>
      </xdr:txBody>
    </xdr:sp>
    <xdr:clientData/>
  </xdr:twoCellAnchor>
  <xdr:twoCellAnchor>
    <xdr:from>
      <xdr:col>17</xdr:col>
      <xdr:colOff>46265</xdr:colOff>
      <xdr:row>41</xdr:row>
      <xdr:rowOff>68038</xdr:rowOff>
    </xdr:from>
    <xdr:to>
      <xdr:col>19</xdr:col>
      <xdr:colOff>203200</xdr:colOff>
      <xdr:row>42</xdr:row>
      <xdr:rowOff>122464</xdr:rowOff>
    </xdr:to>
    <xdr:sp macro="" textlink="">
      <xdr:nvSpPr>
        <xdr:cNvPr id="32" name="CuadroTexto 3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16848365" y="9034238"/>
          <a:ext cx="1858735" cy="2576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AGUA ACIDA</a:t>
          </a:r>
        </a:p>
      </xdr:txBody>
    </xdr:sp>
    <xdr:clientData/>
  </xdr:twoCellAnchor>
  <xdr:twoCellAnchor>
    <xdr:from>
      <xdr:col>18</xdr:col>
      <xdr:colOff>344712</xdr:colOff>
      <xdr:row>44</xdr:row>
      <xdr:rowOff>7258</xdr:rowOff>
    </xdr:from>
    <xdr:to>
      <xdr:col>19</xdr:col>
      <xdr:colOff>51705</xdr:colOff>
      <xdr:row>45</xdr:row>
      <xdr:rowOff>102508</xdr:rowOff>
    </xdr:to>
    <xdr:sp macro="" textlink="G21">
      <xdr:nvSpPr>
        <xdr:cNvPr id="33" name="CuadroTexto 3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/>
      </xdr:nvSpPr>
      <xdr:spPr>
        <a:xfrm>
          <a:off x="17997712" y="9583058"/>
          <a:ext cx="55789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B387D8D-F093-4238-B980-BB02855E0B8B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10:35</a:t>
          </a:fld>
          <a:endParaRPr lang="es-CL" sz="1050"/>
        </a:p>
      </xdr:txBody>
    </xdr:sp>
    <xdr:clientData/>
  </xdr:twoCellAnchor>
  <xdr:twoCellAnchor>
    <xdr:from>
      <xdr:col>18</xdr:col>
      <xdr:colOff>344712</xdr:colOff>
      <xdr:row>46</xdr:row>
      <xdr:rowOff>109766</xdr:rowOff>
    </xdr:from>
    <xdr:to>
      <xdr:col>19</xdr:col>
      <xdr:colOff>51705</xdr:colOff>
      <xdr:row>48</xdr:row>
      <xdr:rowOff>909</xdr:rowOff>
    </xdr:to>
    <xdr:sp macro="" textlink="G22">
      <xdr:nvSpPr>
        <xdr:cNvPr id="34" name="CuadroTexto 33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 txBox="1"/>
      </xdr:nvSpPr>
      <xdr:spPr>
        <a:xfrm>
          <a:off x="17997712" y="10091966"/>
          <a:ext cx="557893" cy="2975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7004C28-1588-4759-9F86-D5305DD3B3F9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10:10</a:t>
          </a:fld>
          <a:endParaRPr lang="es-CL" sz="1050"/>
        </a:p>
      </xdr:txBody>
    </xdr:sp>
    <xdr:clientData/>
  </xdr:twoCellAnchor>
  <xdr:twoCellAnchor>
    <xdr:from>
      <xdr:col>18</xdr:col>
      <xdr:colOff>331105</xdr:colOff>
      <xdr:row>49</xdr:row>
      <xdr:rowOff>24494</xdr:rowOff>
    </xdr:from>
    <xdr:to>
      <xdr:col>19</xdr:col>
      <xdr:colOff>38098</xdr:colOff>
      <xdr:row>50</xdr:row>
      <xdr:rowOff>119744</xdr:rowOff>
    </xdr:to>
    <xdr:sp macro="" textlink="G23">
      <xdr:nvSpPr>
        <xdr:cNvPr id="35" name="CuadroTexto 34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/>
      </xdr:nvSpPr>
      <xdr:spPr>
        <a:xfrm>
          <a:off x="17984105" y="10616294"/>
          <a:ext cx="55789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C3C6CCF-9DAD-4511-9A80-66EC5E2168A7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104%</a:t>
          </a:fld>
          <a:endParaRPr lang="es-CL" sz="1050"/>
        </a:p>
      </xdr:txBody>
    </xdr:sp>
    <xdr:clientData/>
  </xdr:twoCellAnchor>
  <xdr:twoCellAnchor>
    <xdr:from>
      <xdr:col>17</xdr:col>
      <xdr:colOff>204106</xdr:colOff>
      <xdr:row>44</xdr:row>
      <xdr:rowOff>16330</xdr:rowOff>
    </xdr:from>
    <xdr:to>
      <xdr:col>18</xdr:col>
      <xdr:colOff>257628</xdr:colOff>
      <xdr:row>45</xdr:row>
      <xdr:rowOff>122465</xdr:rowOff>
    </xdr:to>
    <xdr:sp macro="" textlink="">
      <xdr:nvSpPr>
        <xdr:cNvPr id="36" name="CuadroTexto 35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 txBox="1"/>
      </xdr:nvSpPr>
      <xdr:spPr>
        <a:xfrm>
          <a:off x="17006206" y="9592130"/>
          <a:ext cx="904422" cy="3093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 baseline="0"/>
            <a:t>Disponible</a:t>
          </a:r>
        </a:p>
        <a:p>
          <a:endParaRPr lang="es-CL" sz="1100"/>
        </a:p>
      </xdr:txBody>
    </xdr:sp>
    <xdr:clientData/>
  </xdr:twoCellAnchor>
  <xdr:twoCellAnchor>
    <xdr:from>
      <xdr:col>17</xdr:col>
      <xdr:colOff>203562</xdr:colOff>
      <xdr:row>46</xdr:row>
      <xdr:rowOff>46265</xdr:rowOff>
    </xdr:from>
    <xdr:to>
      <xdr:col>18</xdr:col>
      <xdr:colOff>287564</xdr:colOff>
      <xdr:row>47</xdr:row>
      <xdr:rowOff>152401</xdr:rowOff>
    </xdr:to>
    <xdr:sp macro="" textlink="">
      <xdr:nvSpPr>
        <xdr:cNvPr id="37" name="CuadroTexto 36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 txBox="1"/>
      </xdr:nvSpPr>
      <xdr:spPr>
        <a:xfrm>
          <a:off x="17005662" y="10028465"/>
          <a:ext cx="934902" cy="30933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Aspiración</a:t>
          </a:r>
        </a:p>
        <a:p>
          <a:endParaRPr lang="es-CL" sz="1100"/>
        </a:p>
        <a:p>
          <a:endParaRPr lang="es-CL" sz="1100"/>
        </a:p>
      </xdr:txBody>
    </xdr:sp>
    <xdr:clientData/>
  </xdr:twoCellAnchor>
  <xdr:twoCellAnchor>
    <xdr:from>
      <xdr:col>17</xdr:col>
      <xdr:colOff>209549</xdr:colOff>
      <xdr:row>48</xdr:row>
      <xdr:rowOff>198668</xdr:rowOff>
    </xdr:from>
    <xdr:to>
      <xdr:col>18</xdr:col>
      <xdr:colOff>263071</xdr:colOff>
      <xdr:row>50</xdr:row>
      <xdr:rowOff>100695</xdr:rowOff>
    </xdr:to>
    <xdr:sp macro="" textlink="">
      <xdr:nvSpPr>
        <xdr:cNvPr id="38" name="CuadroTexto 37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 txBox="1"/>
      </xdr:nvSpPr>
      <xdr:spPr>
        <a:xfrm>
          <a:off x="17011649" y="10587268"/>
          <a:ext cx="904422" cy="30842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Cumplimiento</a:t>
          </a:r>
        </a:p>
      </xdr:txBody>
    </xdr:sp>
    <xdr:clientData/>
  </xdr:twoCellAnchor>
  <xdr:twoCellAnchor>
    <xdr:from>
      <xdr:col>10</xdr:col>
      <xdr:colOff>182517</xdr:colOff>
      <xdr:row>51</xdr:row>
      <xdr:rowOff>127000</xdr:rowOff>
    </xdr:from>
    <xdr:to>
      <xdr:col>10</xdr:col>
      <xdr:colOff>685800</xdr:colOff>
      <xdr:row>53</xdr:row>
      <xdr:rowOff>24495</xdr:rowOff>
    </xdr:to>
    <xdr:sp macro="" textlink="G16">
      <xdr:nvSpPr>
        <xdr:cNvPr id="39" name="CuadroTexto 38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 txBox="1"/>
      </xdr:nvSpPr>
      <xdr:spPr>
        <a:xfrm>
          <a:off x="10075817" y="11125200"/>
          <a:ext cx="503283" cy="30389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46AEE9B-74D4-4247-8BC3-3F2230E8AA5E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10:43</a:t>
          </a:fld>
          <a:endParaRPr lang="es-CL" sz="1050"/>
        </a:p>
      </xdr:txBody>
    </xdr:sp>
    <xdr:clientData/>
  </xdr:twoCellAnchor>
  <xdr:twoCellAnchor>
    <xdr:from>
      <xdr:col>10</xdr:col>
      <xdr:colOff>1442129</xdr:colOff>
      <xdr:row>51</xdr:row>
      <xdr:rowOff>165100</xdr:rowOff>
    </xdr:from>
    <xdr:to>
      <xdr:col>11</xdr:col>
      <xdr:colOff>165100</xdr:colOff>
      <xdr:row>53</xdr:row>
      <xdr:rowOff>78016</xdr:rowOff>
    </xdr:to>
    <xdr:sp macro="" textlink="G17">
      <xdr:nvSpPr>
        <xdr:cNvPr id="40" name="CuadroTexto 39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 txBox="1"/>
      </xdr:nvSpPr>
      <xdr:spPr>
        <a:xfrm>
          <a:off x="11335429" y="11163300"/>
          <a:ext cx="526371" cy="3193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B92D3AF-B45E-461E-8C29-22B7DE936BDD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10:37</a:t>
          </a:fld>
          <a:endParaRPr lang="es-CL" sz="1050"/>
        </a:p>
      </xdr:txBody>
    </xdr:sp>
    <xdr:clientData/>
  </xdr:twoCellAnchor>
  <xdr:twoCellAnchor>
    <xdr:from>
      <xdr:col>10</xdr:col>
      <xdr:colOff>0</xdr:colOff>
      <xdr:row>13</xdr:row>
      <xdr:rowOff>0</xdr:rowOff>
    </xdr:from>
    <xdr:to>
      <xdr:col>10</xdr:col>
      <xdr:colOff>5275035</xdr:colOff>
      <xdr:row>16</xdr:row>
      <xdr:rowOff>143334</xdr:rowOff>
    </xdr:to>
    <xdr:sp macro="" textlink="">
      <xdr:nvSpPr>
        <xdr:cNvPr id="41" name="CuadroTexto 17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 txBox="1"/>
      </xdr:nvSpPr>
      <xdr:spPr>
        <a:xfrm>
          <a:off x="11513820" y="2979420"/>
          <a:ext cx="5275035" cy="760554"/>
        </a:xfrm>
        <a:prstGeom prst="rect">
          <a:avLst/>
        </a:prstGeom>
        <a:solidFill>
          <a:schemeClr val="bg2">
            <a:lumMod val="95000"/>
          </a:schemeClr>
        </a:solidFill>
        <a:ln w="19050">
          <a:solidFill>
            <a:srgbClr val="FF0000"/>
          </a:solidFill>
        </a:ln>
      </xdr:spPr>
      <xdr:txBody>
        <a:bodyPr wrap="square" rtlCol="0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265113" indent="-265113">
            <a:tabLst>
              <a:tab pos="265113" algn="l"/>
            </a:tabLst>
          </a:pPr>
          <a:r>
            <a:rPr lang="es-CL" sz="900"/>
            <a:t>LU: </a:t>
          </a:r>
        </a:p>
        <a:p>
          <a:pPr marL="265113" indent="-265113">
            <a:tabLst>
              <a:tab pos="265113" algn="l"/>
            </a:tabLst>
          </a:pPr>
          <a:r>
            <a:rPr lang="es-CL" sz="900"/>
            <a:t>MA: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MI:</a:t>
          </a:r>
          <a:r>
            <a:rPr lang="es-ES" sz="900" baseline="0"/>
            <a:t>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JU: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VI:  .</a:t>
          </a:r>
          <a:endParaRPr lang="es-CL" sz="900"/>
        </a:p>
      </xdr:txBody>
    </xdr:sp>
    <xdr:clientData/>
  </xdr:twoCellAnchor>
  <xdr:twoCellAnchor editAs="oneCell">
    <xdr:from>
      <xdr:col>3</xdr:col>
      <xdr:colOff>139701</xdr:colOff>
      <xdr:row>26</xdr:row>
      <xdr:rowOff>30327</xdr:rowOff>
    </xdr:from>
    <xdr:to>
      <xdr:col>6</xdr:col>
      <xdr:colOff>1231901</xdr:colOff>
      <xdr:row>31</xdr:row>
      <xdr:rowOff>76200</xdr:rowOff>
    </xdr:to>
    <xdr:pic>
      <xdr:nvPicPr>
        <xdr:cNvPr id="42" name="Imagen 4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616201" y="5707227"/>
          <a:ext cx="4391660" cy="1036473"/>
        </a:xfrm>
        <a:prstGeom prst="rect">
          <a:avLst/>
        </a:prstGeom>
      </xdr:spPr>
    </xdr:pic>
    <xdr:clientData/>
  </xdr:twoCellAnchor>
  <xdr:twoCellAnchor editAs="oneCell">
    <xdr:from>
      <xdr:col>1</xdr:col>
      <xdr:colOff>774700</xdr:colOff>
      <xdr:row>24</xdr:row>
      <xdr:rowOff>114300</xdr:rowOff>
    </xdr:from>
    <xdr:to>
      <xdr:col>6</xdr:col>
      <xdr:colOff>202075</xdr:colOff>
      <xdr:row>41</xdr:row>
      <xdr:rowOff>128825</xdr:rowOff>
    </xdr:to>
    <xdr:pic>
      <xdr:nvPicPr>
        <xdr:cNvPr id="44" name="Imagen 4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89100" y="5626100"/>
          <a:ext cx="4608975" cy="346892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609055</xdr:colOff>
      <xdr:row>15</xdr:row>
      <xdr:rowOff>190500</xdr:rowOff>
    </xdr:from>
    <xdr:to>
      <xdr:col>22</xdr:col>
      <xdr:colOff>342900</xdr:colOff>
      <xdr:row>51</xdr:row>
      <xdr:rowOff>110217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135390</xdr:colOff>
      <xdr:row>48</xdr:row>
      <xdr:rowOff>190500</xdr:rowOff>
    </xdr:from>
    <xdr:to>
      <xdr:col>17</xdr:col>
      <xdr:colOff>647699</xdr:colOff>
      <xdr:row>50</xdr:row>
      <xdr:rowOff>39916</xdr:rowOff>
    </xdr:to>
    <xdr:sp macro="" textlink="G19">
      <xdr:nvSpPr>
        <xdr:cNvPr id="3" name="CuadroTexto 2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/>
      </xdr:nvSpPr>
      <xdr:spPr>
        <a:xfrm flipH="1">
          <a:off x="15273790" y="10528300"/>
          <a:ext cx="512309" cy="2558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E7D385A-72A3-4D2C-94A1-30A75ADBFE75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5:35</a:t>
          </a:fld>
          <a:endParaRPr lang="es-CL" sz="1050"/>
        </a:p>
      </xdr:txBody>
    </xdr:sp>
    <xdr:clientData/>
  </xdr:twoCellAnchor>
  <xdr:twoCellAnchor>
    <xdr:from>
      <xdr:col>15</xdr:col>
      <xdr:colOff>736600</xdr:colOff>
      <xdr:row>49</xdr:row>
      <xdr:rowOff>0</xdr:rowOff>
    </xdr:from>
    <xdr:to>
      <xdr:col>16</xdr:col>
      <xdr:colOff>368300</xdr:colOff>
      <xdr:row>50</xdr:row>
      <xdr:rowOff>41730</xdr:rowOff>
    </xdr:to>
    <xdr:sp macro="" textlink="G18">
      <xdr:nvSpPr>
        <xdr:cNvPr id="4" name="CuadroTexto 3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/>
      </xdr:nvSpPr>
      <xdr:spPr>
        <a:xfrm flipH="1">
          <a:off x="14173200" y="10541000"/>
          <a:ext cx="482600" cy="24493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6325B6A7-A311-4833-BC91-A814A1F8764C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5:55</a:t>
          </a:fld>
          <a:endParaRPr lang="es-CL" sz="1050"/>
        </a:p>
      </xdr:txBody>
    </xdr:sp>
    <xdr:clientData/>
  </xdr:twoCellAnchor>
  <xdr:twoCellAnchor>
    <xdr:from>
      <xdr:col>18</xdr:col>
      <xdr:colOff>365759</xdr:colOff>
      <xdr:row>48</xdr:row>
      <xdr:rowOff>177800</xdr:rowOff>
    </xdr:from>
    <xdr:to>
      <xdr:col>19</xdr:col>
      <xdr:colOff>177800</xdr:colOff>
      <xdr:row>50</xdr:row>
      <xdr:rowOff>39916</xdr:rowOff>
    </xdr:to>
    <xdr:sp macro="" textlink="G20">
      <xdr:nvSpPr>
        <xdr:cNvPr id="5" name="CuadroTexto 4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/>
      </xdr:nvSpPr>
      <xdr:spPr>
        <a:xfrm flipH="1">
          <a:off x="16355059" y="10515600"/>
          <a:ext cx="662941" cy="2685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E5A5A6B-E513-4C35-9B95-0809204FBE31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7:15</a:t>
          </a:fld>
          <a:endParaRPr lang="es-CL" sz="1050"/>
        </a:p>
      </xdr:txBody>
    </xdr:sp>
    <xdr:clientData/>
  </xdr:twoCellAnchor>
  <xdr:twoCellAnchor>
    <xdr:from>
      <xdr:col>20</xdr:col>
      <xdr:colOff>236765</xdr:colOff>
      <xdr:row>41</xdr:row>
      <xdr:rowOff>25400</xdr:rowOff>
    </xdr:from>
    <xdr:to>
      <xdr:col>21</xdr:col>
      <xdr:colOff>711200</xdr:colOff>
      <xdr:row>42</xdr:row>
      <xdr:rowOff>122464</xdr:rowOff>
    </xdr:to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17927865" y="8940800"/>
          <a:ext cx="1414235" cy="30026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SALVATAJE</a:t>
          </a:r>
        </a:p>
      </xdr:txBody>
    </xdr:sp>
    <xdr:clientData/>
  </xdr:twoCellAnchor>
  <xdr:twoCellAnchor>
    <xdr:from>
      <xdr:col>21</xdr:col>
      <xdr:colOff>370112</xdr:colOff>
      <xdr:row>43</xdr:row>
      <xdr:rowOff>139700</xdr:rowOff>
    </xdr:from>
    <xdr:to>
      <xdr:col>22</xdr:col>
      <xdr:colOff>114300</xdr:colOff>
      <xdr:row>45</xdr:row>
      <xdr:rowOff>908</xdr:rowOff>
    </xdr:to>
    <xdr:sp macro="" textlink="G21">
      <xdr:nvSpPr>
        <xdr:cNvPr id="7" name="CuadroTexto 6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/>
      </xdr:nvSpPr>
      <xdr:spPr>
        <a:xfrm>
          <a:off x="19001012" y="9461500"/>
          <a:ext cx="595088" cy="26760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B387D8D-F093-4238-B980-BB02855E0B8B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6:12</a:t>
          </a:fld>
          <a:endParaRPr lang="es-CL" sz="1050"/>
        </a:p>
      </xdr:txBody>
    </xdr:sp>
    <xdr:clientData/>
  </xdr:twoCellAnchor>
  <xdr:twoCellAnchor>
    <xdr:from>
      <xdr:col>21</xdr:col>
      <xdr:colOff>357412</xdr:colOff>
      <xdr:row>45</xdr:row>
      <xdr:rowOff>139700</xdr:rowOff>
    </xdr:from>
    <xdr:to>
      <xdr:col>22</xdr:col>
      <xdr:colOff>101600</xdr:colOff>
      <xdr:row>47</xdr:row>
      <xdr:rowOff>909</xdr:rowOff>
    </xdr:to>
    <xdr:sp macro="" textlink="G22">
      <xdr:nvSpPr>
        <xdr:cNvPr id="8" name="CuadroTexto 7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 txBox="1"/>
      </xdr:nvSpPr>
      <xdr:spPr>
        <a:xfrm>
          <a:off x="18988312" y="9867900"/>
          <a:ext cx="595088" cy="26760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7004C28-1588-4759-9F86-D5305DD3B3F9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6:00</a:t>
          </a:fld>
          <a:endParaRPr lang="es-CL" sz="1050"/>
        </a:p>
      </xdr:txBody>
    </xdr:sp>
    <xdr:clientData/>
  </xdr:twoCellAnchor>
  <xdr:twoCellAnchor>
    <xdr:from>
      <xdr:col>21</xdr:col>
      <xdr:colOff>356505</xdr:colOff>
      <xdr:row>48</xdr:row>
      <xdr:rowOff>0</xdr:rowOff>
    </xdr:from>
    <xdr:to>
      <xdr:col>22</xdr:col>
      <xdr:colOff>50800</xdr:colOff>
      <xdr:row>49</xdr:row>
      <xdr:rowOff>43544</xdr:rowOff>
    </xdr:to>
    <xdr:sp macro="" textlink="G23">
      <xdr:nvSpPr>
        <xdr:cNvPr id="9" name="CuadroTexto 8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/>
      </xdr:nvSpPr>
      <xdr:spPr>
        <a:xfrm>
          <a:off x="18987405" y="10337800"/>
          <a:ext cx="545195" cy="24674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C3C6CCF-9DAD-4511-9A80-66EC5E2168A7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104%</a:t>
          </a:fld>
          <a:endParaRPr lang="es-CL" sz="1050"/>
        </a:p>
      </xdr:txBody>
    </xdr:sp>
    <xdr:clientData/>
  </xdr:twoCellAnchor>
  <xdr:twoCellAnchor>
    <xdr:from>
      <xdr:col>20</xdr:col>
      <xdr:colOff>166006</xdr:colOff>
      <xdr:row>43</xdr:row>
      <xdr:rowOff>152400</xdr:rowOff>
    </xdr:from>
    <xdr:to>
      <xdr:col>21</xdr:col>
      <xdr:colOff>114300</xdr:colOff>
      <xdr:row>44</xdr:row>
      <xdr:rowOff>185965</xdr:rowOff>
    </xdr:to>
    <xdr:sp macro="" textlink="">
      <xdr:nvSpPr>
        <xdr:cNvPr id="10" name="CuadroTexto 9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 txBox="1"/>
      </xdr:nvSpPr>
      <xdr:spPr>
        <a:xfrm>
          <a:off x="17857106" y="9474200"/>
          <a:ext cx="888094" cy="23676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 baseline="0"/>
            <a:t>Disponible</a:t>
          </a:r>
        </a:p>
        <a:p>
          <a:endParaRPr lang="es-CL" sz="1100"/>
        </a:p>
      </xdr:txBody>
    </xdr:sp>
    <xdr:clientData/>
  </xdr:twoCellAnchor>
  <xdr:twoCellAnchor>
    <xdr:from>
      <xdr:col>20</xdr:col>
      <xdr:colOff>170542</xdr:colOff>
      <xdr:row>45</xdr:row>
      <xdr:rowOff>139699</xdr:rowOff>
    </xdr:from>
    <xdr:to>
      <xdr:col>21</xdr:col>
      <xdr:colOff>139700</xdr:colOff>
      <xdr:row>47</xdr:row>
      <xdr:rowOff>12700</xdr:rowOff>
    </xdr:to>
    <xdr:sp macro="" textlink="">
      <xdr:nvSpPr>
        <xdr:cNvPr id="11" name="CuadroTexto 10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 txBox="1"/>
      </xdr:nvSpPr>
      <xdr:spPr>
        <a:xfrm>
          <a:off x="17861642" y="9867899"/>
          <a:ext cx="908958" cy="27940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Aspiración</a:t>
          </a:r>
        </a:p>
        <a:p>
          <a:endParaRPr lang="es-CL" sz="1100"/>
        </a:p>
        <a:p>
          <a:endParaRPr lang="es-CL" sz="1100"/>
        </a:p>
      </xdr:txBody>
    </xdr:sp>
    <xdr:clientData/>
  </xdr:twoCellAnchor>
  <xdr:twoCellAnchor>
    <xdr:from>
      <xdr:col>20</xdr:col>
      <xdr:colOff>158748</xdr:colOff>
      <xdr:row>48</xdr:row>
      <xdr:rowOff>1</xdr:rowOff>
    </xdr:from>
    <xdr:to>
      <xdr:col>21</xdr:col>
      <xdr:colOff>253999</xdr:colOff>
      <xdr:row>49</xdr:row>
      <xdr:rowOff>63501</xdr:rowOff>
    </xdr:to>
    <xdr:sp macro="" textlink="">
      <xdr:nvSpPr>
        <xdr:cNvPr id="12" name="CuadroTexto 11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 txBox="1"/>
      </xdr:nvSpPr>
      <xdr:spPr>
        <a:xfrm>
          <a:off x="17849848" y="10337801"/>
          <a:ext cx="1035051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Cumplimiento</a:t>
          </a:r>
        </a:p>
      </xdr:txBody>
    </xdr:sp>
    <xdr:clientData/>
  </xdr:twoCellAnchor>
  <xdr:twoCellAnchor>
    <xdr:from>
      <xdr:col>13</xdr:col>
      <xdr:colOff>360317</xdr:colOff>
      <xdr:row>49</xdr:row>
      <xdr:rowOff>12700</xdr:rowOff>
    </xdr:from>
    <xdr:to>
      <xdr:col>13</xdr:col>
      <xdr:colOff>901700</xdr:colOff>
      <xdr:row>50</xdr:row>
      <xdr:rowOff>88900</xdr:rowOff>
    </xdr:to>
    <xdr:sp macro="" textlink="G16">
      <xdr:nvSpPr>
        <xdr:cNvPr id="13" name="CuadroTexto 12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 txBox="1"/>
      </xdr:nvSpPr>
      <xdr:spPr>
        <a:xfrm>
          <a:off x="11930017" y="10553700"/>
          <a:ext cx="541383" cy="279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46AEE9B-74D4-4247-8BC3-3F2230E8AA5E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6:10</a:t>
          </a:fld>
          <a:endParaRPr lang="es-CL" sz="1050"/>
        </a:p>
      </xdr:txBody>
    </xdr:sp>
    <xdr:clientData/>
  </xdr:twoCellAnchor>
  <xdr:twoCellAnchor>
    <xdr:from>
      <xdr:col>14</xdr:col>
      <xdr:colOff>451529</xdr:colOff>
      <xdr:row>49</xdr:row>
      <xdr:rowOff>12700</xdr:rowOff>
    </xdr:from>
    <xdr:to>
      <xdr:col>15</xdr:col>
      <xdr:colOff>127000</xdr:colOff>
      <xdr:row>50</xdr:row>
      <xdr:rowOff>65316</xdr:rowOff>
    </xdr:to>
    <xdr:sp macro="" textlink="G17">
      <xdr:nvSpPr>
        <xdr:cNvPr id="14" name="CuadroTexto 13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 txBox="1"/>
      </xdr:nvSpPr>
      <xdr:spPr>
        <a:xfrm>
          <a:off x="13037229" y="10553700"/>
          <a:ext cx="526371" cy="2558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B92D3AF-B45E-461E-8C29-22B7DE936BDD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6:08</a:t>
          </a:fld>
          <a:endParaRPr lang="es-CL" sz="1050"/>
        </a:p>
      </xdr:txBody>
    </xdr:sp>
    <xdr:clientData/>
  </xdr:twoCellAnchor>
  <xdr:twoCellAnchor>
    <xdr:from>
      <xdr:col>10</xdr:col>
      <xdr:colOff>0</xdr:colOff>
      <xdr:row>13</xdr:row>
      <xdr:rowOff>0</xdr:rowOff>
    </xdr:from>
    <xdr:to>
      <xdr:col>10</xdr:col>
      <xdr:colOff>5275035</xdr:colOff>
      <xdr:row>16</xdr:row>
      <xdr:rowOff>143334</xdr:rowOff>
    </xdr:to>
    <xdr:sp macro="" textlink="">
      <xdr:nvSpPr>
        <xdr:cNvPr id="15" name="CuadroTexto 17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 txBox="1"/>
      </xdr:nvSpPr>
      <xdr:spPr>
        <a:xfrm>
          <a:off x="10744200" y="2979420"/>
          <a:ext cx="2577555" cy="760554"/>
        </a:xfrm>
        <a:prstGeom prst="rect">
          <a:avLst/>
        </a:prstGeom>
        <a:solidFill>
          <a:schemeClr val="bg2">
            <a:lumMod val="95000"/>
          </a:schemeClr>
        </a:solidFill>
        <a:ln w="19050">
          <a:solidFill>
            <a:srgbClr val="FF0000"/>
          </a:solidFill>
        </a:ln>
      </xdr:spPr>
      <xdr:txBody>
        <a:bodyPr wrap="square" rtlCol="0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265113" indent="-265113">
            <a:tabLst>
              <a:tab pos="265113" algn="l"/>
            </a:tabLst>
          </a:pPr>
          <a:r>
            <a:rPr lang="es-CL" sz="900"/>
            <a:t>LU: </a:t>
          </a:r>
        </a:p>
        <a:p>
          <a:pPr marL="265113" indent="-265113">
            <a:tabLst>
              <a:tab pos="265113" algn="l"/>
            </a:tabLst>
          </a:pPr>
          <a:r>
            <a:rPr lang="es-CL" sz="900"/>
            <a:t>MA: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MI:</a:t>
          </a:r>
          <a:r>
            <a:rPr lang="es-ES" sz="900" baseline="0"/>
            <a:t>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JU: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VI:  .</a:t>
          </a:r>
          <a:endParaRPr lang="es-CL" sz="900"/>
        </a:p>
      </xdr:txBody>
    </xdr:sp>
    <xdr:clientData/>
  </xdr:twoCellAnchor>
  <xdr:twoCellAnchor editAs="oneCell">
    <xdr:from>
      <xdr:col>3</xdr:col>
      <xdr:colOff>139701</xdr:colOff>
      <xdr:row>26</xdr:row>
      <xdr:rowOff>30327</xdr:rowOff>
    </xdr:from>
    <xdr:to>
      <xdr:col>8</xdr:col>
      <xdr:colOff>284481</xdr:colOff>
      <xdr:row>31</xdr:row>
      <xdr:rowOff>76200</xdr:rowOff>
    </xdr:to>
    <xdr:pic>
      <xdr:nvPicPr>
        <xdr:cNvPr id="16" name="Imagen 1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616201" y="5707227"/>
          <a:ext cx="4411980" cy="1036473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25</xdr:row>
      <xdr:rowOff>152400</xdr:rowOff>
    </xdr:from>
    <xdr:to>
      <xdr:col>8</xdr:col>
      <xdr:colOff>346855</xdr:colOff>
      <xdr:row>42</xdr:row>
      <xdr:rowOff>166925</xdr:rowOff>
    </xdr:to>
    <xdr:pic>
      <xdr:nvPicPr>
        <xdr:cNvPr id="17" name="Imagen 1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565400" y="5816600"/>
          <a:ext cx="4601355" cy="346892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507455</xdr:colOff>
      <xdr:row>16</xdr:row>
      <xdr:rowOff>146728</xdr:rowOff>
    </xdr:from>
    <xdr:to>
      <xdr:col>21</xdr:col>
      <xdr:colOff>203200</xdr:colOff>
      <xdr:row>52</xdr:row>
      <xdr:rowOff>110217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102370</xdr:colOff>
      <xdr:row>51</xdr:row>
      <xdr:rowOff>152400</xdr:rowOff>
    </xdr:from>
    <xdr:to>
      <xdr:col>14</xdr:col>
      <xdr:colOff>609599</xdr:colOff>
      <xdr:row>53</xdr:row>
      <xdr:rowOff>1816</xdr:rowOff>
    </xdr:to>
    <xdr:sp macro="" textlink="G19">
      <xdr:nvSpPr>
        <xdr:cNvPr id="20" name="CuadroTexto 19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/>
      </xdr:nvSpPr>
      <xdr:spPr>
        <a:xfrm flipH="1">
          <a:off x="12662670" y="11150600"/>
          <a:ext cx="507229" cy="2558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E7D385A-72A3-4D2C-94A1-30A75ADBFE75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6:17</a:t>
          </a:fld>
          <a:endParaRPr lang="es-CL" sz="1050"/>
        </a:p>
      </xdr:txBody>
    </xdr:sp>
    <xdr:clientData/>
  </xdr:twoCellAnchor>
  <xdr:twoCellAnchor>
    <xdr:from>
      <xdr:col>12</xdr:col>
      <xdr:colOff>590276</xdr:colOff>
      <xdr:row>51</xdr:row>
      <xdr:rowOff>139700</xdr:rowOff>
    </xdr:from>
    <xdr:to>
      <xdr:col>13</xdr:col>
      <xdr:colOff>292100</xdr:colOff>
      <xdr:row>53</xdr:row>
      <xdr:rowOff>0</xdr:rowOff>
    </xdr:to>
    <xdr:sp macro="" textlink="G18">
      <xdr:nvSpPr>
        <xdr:cNvPr id="21" name="CuadroTexto 20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/>
      </xdr:nvSpPr>
      <xdr:spPr>
        <a:xfrm flipH="1">
          <a:off x="11448776" y="11137900"/>
          <a:ext cx="552724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6325B6A7-A311-4833-BC91-A814A1F8764C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6:02</a:t>
          </a:fld>
          <a:endParaRPr lang="es-CL" sz="1050"/>
        </a:p>
      </xdr:txBody>
    </xdr:sp>
    <xdr:clientData/>
  </xdr:twoCellAnchor>
  <xdr:twoCellAnchor>
    <xdr:from>
      <xdr:col>15</xdr:col>
      <xdr:colOff>294639</xdr:colOff>
      <xdr:row>51</xdr:row>
      <xdr:rowOff>165100</xdr:rowOff>
    </xdr:from>
    <xdr:to>
      <xdr:col>15</xdr:col>
      <xdr:colOff>825500</xdr:colOff>
      <xdr:row>52</xdr:row>
      <xdr:rowOff>192316</xdr:rowOff>
    </xdr:to>
    <xdr:sp macro="" textlink="G20">
      <xdr:nvSpPr>
        <xdr:cNvPr id="22" name="CuadroTexto 21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/>
      </xdr:nvSpPr>
      <xdr:spPr>
        <a:xfrm flipH="1">
          <a:off x="15435579" y="10993120"/>
          <a:ext cx="530861" cy="22533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E5A5A6B-E513-4C35-9B95-0809204FBE31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5:54</a:t>
          </a:fld>
          <a:endParaRPr lang="es-CL" sz="1050"/>
        </a:p>
      </xdr:txBody>
    </xdr:sp>
    <xdr:clientData/>
  </xdr:twoCellAnchor>
  <xdr:twoCellAnchor>
    <xdr:from>
      <xdr:col>17</xdr:col>
      <xdr:colOff>46265</xdr:colOff>
      <xdr:row>41</xdr:row>
      <xdr:rowOff>68038</xdr:rowOff>
    </xdr:from>
    <xdr:to>
      <xdr:col>19</xdr:col>
      <xdr:colOff>203200</xdr:colOff>
      <xdr:row>42</xdr:row>
      <xdr:rowOff>122464</xdr:rowOff>
    </xdr:to>
    <xdr:sp macro="" textlink="">
      <xdr:nvSpPr>
        <xdr:cNvPr id="23" name="CuadroTexto 22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16894085" y="8914858"/>
          <a:ext cx="1863815" cy="25254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VENTILACIÓN LOCAL</a:t>
          </a:r>
        </a:p>
      </xdr:txBody>
    </xdr:sp>
    <xdr:clientData/>
  </xdr:twoCellAnchor>
  <xdr:twoCellAnchor>
    <xdr:from>
      <xdr:col>18</xdr:col>
      <xdr:colOff>344712</xdr:colOff>
      <xdr:row>44</xdr:row>
      <xdr:rowOff>7258</xdr:rowOff>
    </xdr:from>
    <xdr:to>
      <xdr:col>19</xdr:col>
      <xdr:colOff>51705</xdr:colOff>
      <xdr:row>45</xdr:row>
      <xdr:rowOff>102508</xdr:rowOff>
    </xdr:to>
    <xdr:sp macro="" textlink="G21">
      <xdr:nvSpPr>
        <xdr:cNvPr id="24" name="CuadroTexto 23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/>
      </xdr:nvSpPr>
      <xdr:spPr>
        <a:xfrm>
          <a:off x="18045972" y="9448438"/>
          <a:ext cx="560433" cy="29337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B387D8D-F093-4238-B980-BB02855E0B8B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5:58</a:t>
          </a:fld>
          <a:endParaRPr lang="es-CL" sz="1050"/>
        </a:p>
      </xdr:txBody>
    </xdr:sp>
    <xdr:clientData/>
  </xdr:twoCellAnchor>
  <xdr:twoCellAnchor>
    <xdr:from>
      <xdr:col>18</xdr:col>
      <xdr:colOff>344712</xdr:colOff>
      <xdr:row>46</xdr:row>
      <xdr:rowOff>109766</xdr:rowOff>
    </xdr:from>
    <xdr:to>
      <xdr:col>19</xdr:col>
      <xdr:colOff>51705</xdr:colOff>
      <xdr:row>48</xdr:row>
      <xdr:rowOff>909</xdr:rowOff>
    </xdr:to>
    <xdr:sp macro="" textlink="G22">
      <xdr:nvSpPr>
        <xdr:cNvPr id="25" name="CuadroTexto 2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 txBox="1"/>
      </xdr:nvSpPr>
      <xdr:spPr>
        <a:xfrm>
          <a:off x="18045972" y="9947186"/>
          <a:ext cx="560433" cy="2873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7004C28-1588-4759-9F86-D5305DD3B3F9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6:00</a:t>
          </a:fld>
          <a:endParaRPr lang="es-CL" sz="1050"/>
        </a:p>
      </xdr:txBody>
    </xdr:sp>
    <xdr:clientData/>
  </xdr:twoCellAnchor>
  <xdr:twoCellAnchor>
    <xdr:from>
      <xdr:col>18</xdr:col>
      <xdr:colOff>331105</xdr:colOff>
      <xdr:row>49</xdr:row>
      <xdr:rowOff>24494</xdr:rowOff>
    </xdr:from>
    <xdr:to>
      <xdr:col>19</xdr:col>
      <xdr:colOff>38098</xdr:colOff>
      <xdr:row>50</xdr:row>
      <xdr:rowOff>119744</xdr:rowOff>
    </xdr:to>
    <xdr:sp macro="" textlink="G23">
      <xdr:nvSpPr>
        <xdr:cNvPr id="26" name="CuadroTexto 25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/>
      </xdr:nvSpPr>
      <xdr:spPr>
        <a:xfrm>
          <a:off x="18032365" y="10456274"/>
          <a:ext cx="560433" cy="29337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C3C6CCF-9DAD-4511-9A80-66EC5E2168A7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100%</a:t>
          </a:fld>
          <a:endParaRPr lang="es-CL" sz="1050"/>
        </a:p>
      </xdr:txBody>
    </xdr:sp>
    <xdr:clientData/>
  </xdr:twoCellAnchor>
  <xdr:twoCellAnchor>
    <xdr:from>
      <xdr:col>17</xdr:col>
      <xdr:colOff>204106</xdr:colOff>
      <xdr:row>44</xdr:row>
      <xdr:rowOff>16330</xdr:rowOff>
    </xdr:from>
    <xdr:to>
      <xdr:col>18</xdr:col>
      <xdr:colOff>257628</xdr:colOff>
      <xdr:row>45</xdr:row>
      <xdr:rowOff>122465</xdr:rowOff>
    </xdr:to>
    <xdr:sp macro="" textlink="">
      <xdr:nvSpPr>
        <xdr:cNvPr id="27" name="CuadroTexto 26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 txBox="1"/>
      </xdr:nvSpPr>
      <xdr:spPr>
        <a:xfrm>
          <a:off x="17051926" y="9457510"/>
          <a:ext cx="906962" cy="30425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 baseline="0"/>
            <a:t>Disponible</a:t>
          </a:r>
        </a:p>
        <a:p>
          <a:endParaRPr lang="es-CL" sz="1100"/>
        </a:p>
      </xdr:txBody>
    </xdr:sp>
    <xdr:clientData/>
  </xdr:twoCellAnchor>
  <xdr:twoCellAnchor>
    <xdr:from>
      <xdr:col>17</xdr:col>
      <xdr:colOff>203562</xdr:colOff>
      <xdr:row>46</xdr:row>
      <xdr:rowOff>46265</xdr:rowOff>
    </xdr:from>
    <xdr:to>
      <xdr:col>18</xdr:col>
      <xdr:colOff>287564</xdr:colOff>
      <xdr:row>47</xdr:row>
      <xdr:rowOff>152401</xdr:rowOff>
    </xdr:to>
    <xdr:sp macro="" textlink="">
      <xdr:nvSpPr>
        <xdr:cNvPr id="28" name="CuadroTexto 27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 txBox="1"/>
      </xdr:nvSpPr>
      <xdr:spPr>
        <a:xfrm>
          <a:off x="17051382" y="9883685"/>
          <a:ext cx="937442" cy="30425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Aspiración</a:t>
          </a:r>
        </a:p>
        <a:p>
          <a:endParaRPr lang="es-CL" sz="1100"/>
        </a:p>
        <a:p>
          <a:endParaRPr lang="es-CL" sz="1100"/>
        </a:p>
      </xdr:txBody>
    </xdr:sp>
    <xdr:clientData/>
  </xdr:twoCellAnchor>
  <xdr:twoCellAnchor>
    <xdr:from>
      <xdr:col>17</xdr:col>
      <xdr:colOff>209549</xdr:colOff>
      <xdr:row>48</xdr:row>
      <xdr:rowOff>198668</xdr:rowOff>
    </xdr:from>
    <xdr:to>
      <xdr:col>18</xdr:col>
      <xdr:colOff>263071</xdr:colOff>
      <xdr:row>50</xdr:row>
      <xdr:rowOff>100695</xdr:rowOff>
    </xdr:to>
    <xdr:sp macro="" textlink="">
      <xdr:nvSpPr>
        <xdr:cNvPr id="29" name="CuadroTexto 28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 txBox="1"/>
      </xdr:nvSpPr>
      <xdr:spPr>
        <a:xfrm>
          <a:off x="17057369" y="10432328"/>
          <a:ext cx="906962" cy="29826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Cumplimiento</a:t>
          </a:r>
        </a:p>
      </xdr:txBody>
    </xdr:sp>
    <xdr:clientData/>
  </xdr:twoCellAnchor>
  <xdr:twoCellAnchor>
    <xdr:from>
      <xdr:col>10</xdr:col>
      <xdr:colOff>182517</xdr:colOff>
      <xdr:row>51</xdr:row>
      <xdr:rowOff>127000</xdr:rowOff>
    </xdr:from>
    <xdr:to>
      <xdr:col>10</xdr:col>
      <xdr:colOff>685800</xdr:colOff>
      <xdr:row>53</xdr:row>
      <xdr:rowOff>24495</xdr:rowOff>
    </xdr:to>
    <xdr:sp macro="" textlink="G16">
      <xdr:nvSpPr>
        <xdr:cNvPr id="30" name="CuadroTexto 29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 txBox="1"/>
      </xdr:nvSpPr>
      <xdr:spPr>
        <a:xfrm>
          <a:off x="10103757" y="10955020"/>
          <a:ext cx="503283" cy="2937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46AEE9B-74D4-4247-8BC3-3F2230E8AA5E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5:52</a:t>
          </a:fld>
          <a:endParaRPr lang="es-CL" sz="1050"/>
        </a:p>
      </xdr:txBody>
    </xdr:sp>
    <xdr:clientData/>
  </xdr:twoCellAnchor>
  <xdr:twoCellAnchor>
    <xdr:from>
      <xdr:col>11</xdr:col>
      <xdr:colOff>309289</xdr:colOff>
      <xdr:row>51</xdr:row>
      <xdr:rowOff>152400</xdr:rowOff>
    </xdr:from>
    <xdr:to>
      <xdr:col>11</xdr:col>
      <xdr:colOff>774700</xdr:colOff>
      <xdr:row>53</xdr:row>
      <xdr:rowOff>1816</xdr:rowOff>
    </xdr:to>
    <xdr:sp macro="" textlink="G17">
      <xdr:nvSpPr>
        <xdr:cNvPr id="31" name="CuadroTexto 30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 txBox="1"/>
      </xdr:nvSpPr>
      <xdr:spPr>
        <a:xfrm>
          <a:off x="10316889" y="11150600"/>
          <a:ext cx="465411" cy="2558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B92D3AF-B45E-461E-8C29-22B7DE936BDD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5:48</a:t>
          </a:fld>
          <a:endParaRPr lang="es-CL" sz="1050"/>
        </a:p>
      </xdr:txBody>
    </xdr:sp>
    <xdr:clientData/>
  </xdr:twoCellAnchor>
  <xdr:twoCellAnchor>
    <xdr:from>
      <xdr:col>10</xdr:col>
      <xdr:colOff>0</xdr:colOff>
      <xdr:row>13</xdr:row>
      <xdr:rowOff>0</xdr:rowOff>
    </xdr:from>
    <xdr:to>
      <xdr:col>10</xdr:col>
      <xdr:colOff>5275035</xdr:colOff>
      <xdr:row>16</xdr:row>
      <xdr:rowOff>143334</xdr:rowOff>
    </xdr:to>
    <xdr:sp macro="" textlink="">
      <xdr:nvSpPr>
        <xdr:cNvPr id="32" name="CuadroTexto 17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 txBox="1"/>
      </xdr:nvSpPr>
      <xdr:spPr>
        <a:xfrm>
          <a:off x="9921240" y="3177540"/>
          <a:ext cx="1807935" cy="760554"/>
        </a:xfrm>
        <a:prstGeom prst="rect">
          <a:avLst/>
        </a:prstGeom>
        <a:solidFill>
          <a:schemeClr val="bg2">
            <a:lumMod val="95000"/>
          </a:schemeClr>
        </a:solidFill>
        <a:ln w="19050">
          <a:solidFill>
            <a:srgbClr val="FF0000"/>
          </a:solidFill>
        </a:ln>
      </xdr:spPr>
      <xdr:txBody>
        <a:bodyPr wrap="square" rtlCol="0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265113" indent="-265113">
            <a:tabLst>
              <a:tab pos="265113" algn="l"/>
            </a:tabLst>
          </a:pPr>
          <a:r>
            <a:rPr lang="es-CL" sz="900"/>
            <a:t>LU: </a:t>
          </a:r>
        </a:p>
        <a:p>
          <a:pPr marL="265113" indent="-265113">
            <a:tabLst>
              <a:tab pos="265113" algn="l"/>
            </a:tabLst>
          </a:pPr>
          <a:r>
            <a:rPr lang="es-CL" sz="900"/>
            <a:t>MA: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MI:</a:t>
          </a:r>
          <a:r>
            <a:rPr lang="es-ES" sz="900" baseline="0"/>
            <a:t>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JU: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VI:  .</a:t>
          </a:r>
          <a:endParaRPr lang="es-CL" sz="900"/>
        </a:p>
      </xdr:txBody>
    </xdr:sp>
    <xdr:clientData/>
  </xdr:twoCellAnchor>
  <xdr:twoCellAnchor editAs="oneCell">
    <xdr:from>
      <xdr:col>2</xdr:col>
      <xdr:colOff>203201</xdr:colOff>
      <xdr:row>26</xdr:row>
      <xdr:rowOff>43027</xdr:rowOff>
    </xdr:from>
    <xdr:to>
      <xdr:col>6</xdr:col>
      <xdr:colOff>855981</xdr:colOff>
      <xdr:row>31</xdr:row>
      <xdr:rowOff>88900</xdr:rowOff>
    </xdr:to>
    <xdr:pic>
      <xdr:nvPicPr>
        <xdr:cNvPr id="33" name="Imagen 3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120901" y="5961227"/>
          <a:ext cx="4386580" cy="1061873"/>
        </a:xfrm>
        <a:prstGeom prst="rect">
          <a:avLst/>
        </a:prstGeom>
      </xdr:spPr>
    </xdr:pic>
    <xdr:clientData/>
  </xdr:twoCellAnchor>
  <xdr:twoCellAnchor editAs="oneCell">
    <xdr:from>
      <xdr:col>1</xdr:col>
      <xdr:colOff>419100</xdr:colOff>
      <xdr:row>24</xdr:row>
      <xdr:rowOff>127000</xdr:rowOff>
    </xdr:from>
    <xdr:to>
      <xdr:col>6</xdr:col>
      <xdr:colOff>278275</xdr:colOff>
      <xdr:row>41</xdr:row>
      <xdr:rowOff>141525</xdr:rowOff>
    </xdr:to>
    <xdr:pic>
      <xdr:nvPicPr>
        <xdr:cNvPr id="35" name="Imagen 3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20800" y="5638800"/>
          <a:ext cx="4608975" cy="3468925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189955</xdr:colOff>
      <xdr:row>15</xdr:row>
      <xdr:rowOff>197528</xdr:rowOff>
    </xdr:from>
    <xdr:to>
      <xdr:col>21</xdr:col>
      <xdr:colOff>736600</xdr:colOff>
      <xdr:row>51</xdr:row>
      <xdr:rowOff>161017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102370</xdr:colOff>
      <xdr:row>51</xdr:row>
      <xdr:rowOff>152400</xdr:rowOff>
    </xdr:from>
    <xdr:to>
      <xdr:col>14</xdr:col>
      <xdr:colOff>609599</xdr:colOff>
      <xdr:row>53</xdr:row>
      <xdr:rowOff>1816</xdr:rowOff>
    </xdr:to>
    <xdr:sp macro="" textlink="G19">
      <xdr:nvSpPr>
        <xdr:cNvPr id="15" name="CuadroTexto 14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/>
      </xdr:nvSpPr>
      <xdr:spPr>
        <a:xfrm flipH="1">
          <a:off x="12698230" y="10980420"/>
          <a:ext cx="507229" cy="24565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E7D385A-72A3-4D2C-94A1-30A75ADBFE75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6:15</a:t>
          </a:fld>
          <a:endParaRPr lang="es-CL" sz="1050"/>
        </a:p>
      </xdr:txBody>
    </xdr:sp>
    <xdr:clientData/>
  </xdr:twoCellAnchor>
  <xdr:twoCellAnchor>
    <xdr:from>
      <xdr:col>12</xdr:col>
      <xdr:colOff>590276</xdr:colOff>
      <xdr:row>51</xdr:row>
      <xdr:rowOff>139700</xdr:rowOff>
    </xdr:from>
    <xdr:to>
      <xdr:col>13</xdr:col>
      <xdr:colOff>292100</xdr:colOff>
      <xdr:row>53</xdr:row>
      <xdr:rowOff>0</xdr:rowOff>
    </xdr:to>
    <xdr:sp macro="" textlink="G18">
      <xdr:nvSpPr>
        <xdr:cNvPr id="16" name="CuadroTexto 15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/>
      </xdr:nvSpPr>
      <xdr:spPr>
        <a:xfrm flipH="1">
          <a:off x="11479256" y="10967720"/>
          <a:ext cx="555264" cy="2565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6325B6A7-A311-4833-BC91-A814A1F8764C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5:50</a:t>
          </a:fld>
          <a:endParaRPr lang="es-CL" sz="1050"/>
        </a:p>
      </xdr:txBody>
    </xdr:sp>
    <xdr:clientData/>
  </xdr:twoCellAnchor>
  <xdr:twoCellAnchor>
    <xdr:from>
      <xdr:col>15</xdr:col>
      <xdr:colOff>294639</xdr:colOff>
      <xdr:row>51</xdr:row>
      <xdr:rowOff>165100</xdr:rowOff>
    </xdr:from>
    <xdr:to>
      <xdr:col>15</xdr:col>
      <xdr:colOff>825500</xdr:colOff>
      <xdr:row>52</xdr:row>
      <xdr:rowOff>192316</xdr:rowOff>
    </xdr:to>
    <xdr:sp macro="" textlink="G20">
      <xdr:nvSpPr>
        <xdr:cNvPr id="17" name="CuadroTexto 16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/>
      </xdr:nvSpPr>
      <xdr:spPr>
        <a:xfrm flipH="1">
          <a:off x="13743939" y="10993120"/>
          <a:ext cx="530861" cy="22533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E5A5A6B-E513-4C35-9B95-0809204FBE31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5:45</a:t>
          </a:fld>
          <a:endParaRPr lang="es-CL" sz="1050"/>
        </a:p>
      </xdr:txBody>
    </xdr:sp>
    <xdr:clientData/>
  </xdr:twoCellAnchor>
  <xdr:twoCellAnchor>
    <xdr:from>
      <xdr:col>17</xdr:col>
      <xdr:colOff>46265</xdr:colOff>
      <xdr:row>41</xdr:row>
      <xdr:rowOff>68038</xdr:rowOff>
    </xdr:from>
    <xdr:to>
      <xdr:col>19</xdr:col>
      <xdr:colOff>203200</xdr:colOff>
      <xdr:row>42</xdr:row>
      <xdr:rowOff>122464</xdr:rowOff>
    </xdr:to>
    <xdr:sp macro="" textlink="">
      <xdr:nvSpPr>
        <xdr:cNvPr id="18" name="CuadroTexto 17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15202445" y="8914858"/>
          <a:ext cx="1863815" cy="25254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PUERTAS MINA</a:t>
          </a:r>
        </a:p>
      </xdr:txBody>
    </xdr:sp>
    <xdr:clientData/>
  </xdr:twoCellAnchor>
  <xdr:twoCellAnchor>
    <xdr:from>
      <xdr:col>18</xdr:col>
      <xdr:colOff>344712</xdr:colOff>
      <xdr:row>44</xdr:row>
      <xdr:rowOff>7258</xdr:rowOff>
    </xdr:from>
    <xdr:to>
      <xdr:col>19</xdr:col>
      <xdr:colOff>51705</xdr:colOff>
      <xdr:row>45</xdr:row>
      <xdr:rowOff>102508</xdr:rowOff>
    </xdr:to>
    <xdr:sp macro="" textlink="G21">
      <xdr:nvSpPr>
        <xdr:cNvPr id="19" name="CuadroTexto 18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/>
      </xdr:nvSpPr>
      <xdr:spPr>
        <a:xfrm>
          <a:off x="16354332" y="9448438"/>
          <a:ext cx="560433" cy="29337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B387D8D-F093-4238-B980-BB02855E0B8B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5:56</a:t>
          </a:fld>
          <a:endParaRPr lang="es-CL" sz="1050"/>
        </a:p>
      </xdr:txBody>
    </xdr:sp>
    <xdr:clientData/>
  </xdr:twoCellAnchor>
  <xdr:twoCellAnchor>
    <xdr:from>
      <xdr:col>18</xdr:col>
      <xdr:colOff>344712</xdr:colOff>
      <xdr:row>46</xdr:row>
      <xdr:rowOff>109766</xdr:rowOff>
    </xdr:from>
    <xdr:to>
      <xdr:col>19</xdr:col>
      <xdr:colOff>51705</xdr:colOff>
      <xdr:row>48</xdr:row>
      <xdr:rowOff>909</xdr:rowOff>
    </xdr:to>
    <xdr:sp macro="" textlink="G22">
      <xdr:nvSpPr>
        <xdr:cNvPr id="20" name="CuadroTexto 19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 txBox="1"/>
      </xdr:nvSpPr>
      <xdr:spPr>
        <a:xfrm>
          <a:off x="16354332" y="9947186"/>
          <a:ext cx="560433" cy="2873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7004C28-1588-4759-9F86-D5305DD3B3F9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6:00</a:t>
          </a:fld>
          <a:endParaRPr lang="es-CL" sz="1050"/>
        </a:p>
      </xdr:txBody>
    </xdr:sp>
    <xdr:clientData/>
  </xdr:twoCellAnchor>
  <xdr:twoCellAnchor>
    <xdr:from>
      <xdr:col>18</xdr:col>
      <xdr:colOff>331105</xdr:colOff>
      <xdr:row>49</xdr:row>
      <xdr:rowOff>24494</xdr:rowOff>
    </xdr:from>
    <xdr:to>
      <xdr:col>19</xdr:col>
      <xdr:colOff>38098</xdr:colOff>
      <xdr:row>50</xdr:row>
      <xdr:rowOff>119744</xdr:rowOff>
    </xdr:to>
    <xdr:sp macro="" textlink="G23">
      <xdr:nvSpPr>
        <xdr:cNvPr id="21" name="CuadroTexto 20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/>
      </xdr:nvSpPr>
      <xdr:spPr>
        <a:xfrm>
          <a:off x="16340725" y="10456274"/>
          <a:ext cx="560433" cy="29337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C3C6CCF-9DAD-4511-9A80-66EC5E2168A7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99%</a:t>
          </a:fld>
          <a:endParaRPr lang="es-CL" sz="1050"/>
        </a:p>
      </xdr:txBody>
    </xdr:sp>
    <xdr:clientData/>
  </xdr:twoCellAnchor>
  <xdr:twoCellAnchor>
    <xdr:from>
      <xdr:col>17</xdr:col>
      <xdr:colOff>204106</xdr:colOff>
      <xdr:row>44</xdr:row>
      <xdr:rowOff>16330</xdr:rowOff>
    </xdr:from>
    <xdr:to>
      <xdr:col>18</xdr:col>
      <xdr:colOff>257628</xdr:colOff>
      <xdr:row>45</xdr:row>
      <xdr:rowOff>122465</xdr:rowOff>
    </xdr:to>
    <xdr:sp macro="" textlink="">
      <xdr:nvSpPr>
        <xdr:cNvPr id="22" name="CuadroTexto 21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 txBox="1"/>
      </xdr:nvSpPr>
      <xdr:spPr>
        <a:xfrm>
          <a:off x="15360286" y="9457510"/>
          <a:ext cx="906962" cy="30425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 baseline="0"/>
            <a:t>Disponible</a:t>
          </a:r>
        </a:p>
        <a:p>
          <a:endParaRPr lang="es-CL" sz="1100"/>
        </a:p>
      </xdr:txBody>
    </xdr:sp>
    <xdr:clientData/>
  </xdr:twoCellAnchor>
  <xdr:twoCellAnchor>
    <xdr:from>
      <xdr:col>17</xdr:col>
      <xdr:colOff>203562</xdr:colOff>
      <xdr:row>46</xdr:row>
      <xdr:rowOff>46265</xdr:rowOff>
    </xdr:from>
    <xdr:to>
      <xdr:col>18</xdr:col>
      <xdr:colOff>287564</xdr:colOff>
      <xdr:row>47</xdr:row>
      <xdr:rowOff>152401</xdr:rowOff>
    </xdr:to>
    <xdr:sp macro="" textlink="">
      <xdr:nvSpPr>
        <xdr:cNvPr id="23" name="CuadroTexto 22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 txBox="1"/>
      </xdr:nvSpPr>
      <xdr:spPr>
        <a:xfrm>
          <a:off x="15359742" y="9883685"/>
          <a:ext cx="937442" cy="30425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Aspiración</a:t>
          </a:r>
        </a:p>
        <a:p>
          <a:endParaRPr lang="es-CL" sz="1100"/>
        </a:p>
        <a:p>
          <a:endParaRPr lang="es-CL" sz="1100"/>
        </a:p>
      </xdr:txBody>
    </xdr:sp>
    <xdr:clientData/>
  </xdr:twoCellAnchor>
  <xdr:twoCellAnchor>
    <xdr:from>
      <xdr:col>17</xdr:col>
      <xdr:colOff>209549</xdr:colOff>
      <xdr:row>48</xdr:row>
      <xdr:rowOff>198668</xdr:rowOff>
    </xdr:from>
    <xdr:to>
      <xdr:col>18</xdr:col>
      <xdr:colOff>263071</xdr:colOff>
      <xdr:row>50</xdr:row>
      <xdr:rowOff>100695</xdr:rowOff>
    </xdr:to>
    <xdr:sp macro="" textlink="">
      <xdr:nvSpPr>
        <xdr:cNvPr id="24" name="CuadroTexto 23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 txBox="1"/>
      </xdr:nvSpPr>
      <xdr:spPr>
        <a:xfrm>
          <a:off x="15365729" y="10432328"/>
          <a:ext cx="906962" cy="29826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Cumplimiento</a:t>
          </a:r>
        </a:p>
      </xdr:txBody>
    </xdr:sp>
    <xdr:clientData/>
  </xdr:twoCellAnchor>
  <xdr:twoCellAnchor>
    <xdr:from>
      <xdr:col>10</xdr:col>
      <xdr:colOff>182517</xdr:colOff>
      <xdr:row>51</xdr:row>
      <xdr:rowOff>127000</xdr:rowOff>
    </xdr:from>
    <xdr:to>
      <xdr:col>10</xdr:col>
      <xdr:colOff>685800</xdr:colOff>
      <xdr:row>53</xdr:row>
      <xdr:rowOff>24495</xdr:rowOff>
    </xdr:to>
    <xdr:sp macro="" textlink="G16">
      <xdr:nvSpPr>
        <xdr:cNvPr id="25" name="CuadroTexto 24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 txBox="1"/>
      </xdr:nvSpPr>
      <xdr:spPr>
        <a:xfrm>
          <a:off x="9364617" y="10955020"/>
          <a:ext cx="503283" cy="2937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46AEE9B-74D4-4247-8BC3-3F2230E8AA5E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5:55</a:t>
          </a:fld>
          <a:endParaRPr lang="es-CL" sz="1050"/>
        </a:p>
      </xdr:txBody>
    </xdr:sp>
    <xdr:clientData/>
  </xdr:twoCellAnchor>
  <xdr:twoCellAnchor>
    <xdr:from>
      <xdr:col>11</xdr:col>
      <xdr:colOff>309289</xdr:colOff>
      <xdr:row>51</xdr:row>
      <xdr:rowOff>152400</xdr:rowOff>
    </xdr:from>
    <xdr:to>
      <xdr:col>11</xdr:col>
      <xdr:colOff>774700</xdr:colOff>
      <xdr:row>53</xdr:row>
      <xdr:rowOff>1816</xdr:rowOff>
    </xdr:to>
    <xdr:sp macro="" textlink="G17">
      <xdr:nvSpPr>
        <xdr:cNvPr id="26" name="CuadroTexto 25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 txBox="1"/>
      </xdr:nvSpPr>
      <xdr:spPr>
        <a:xfrm>
          <a:off x="10344829" y="10980420"/>
          <a:ext cx="465411" cy="24565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B92D3AF-B45E-461E-8C29-22B7DE936BDD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5:55</a:t>
          </a:fld>
          <a:endParaRPr lang="es-CL" sz="1050"/>
        </a:p>
      </xdr:txBody>
    </xdr:sp>
    <xdr:clientData/>
  </xdr:twoCellAnchor>
  <xdr:twoCellAnchor>
    <xdr:from>
      <xdr:col>10</xdr:col>
      <xdr:colOff>0</xdr:colOff>
      <xdr:row>13</xdr:row>
      <xdr:rowOff>0</xdr:rowOff>
    </xdr:from>
    <xdr:to>
      <xdr:col>10</xdr:col>
      <xdr:colOff>5275035</xdr:colOff>
      <xdr:row>16</xdr:row>
      <xdr:rowOff>143334</xdr:rowOff>
    </xdr:to>
    <xdr:sp macro="" textlink="">
      <xdr:nvSpPr>
        <xdr:cNvPr id="27" name="CuadroTexto 17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 txBox="1"/>
      </xdr:nvSpPr>
      <xdr:spPr>
        <a:xfrm>
          <a:off x="9182100" y="3177540"/>
          <a:ext cx="855435" cy="760554"/>
        </a:xfrm>
        <a:prstGeom prst="rect">
          <a:avLst/>
        </a:prstGeom>
        <a:solidFill>
          <a:schemeClr val="bg2">
            <a:lumMod val="95000"/>
          </a:schemeClr>
        </a:solidFill>
        <a:ln w="19050">
          <a:solidFill>
            <a:srgbClr val="FF0000"/>
          </a:solidFill>
        </a:ln>
      </xdr:spPr>
      <xdr:txBody>
        <a:bodyPr wrap="square" rtlCol="0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265113" indent="-265113">
            <a:tabLst>
              <a:tab pos="265113" algn="l"/>
            </a:tabLst>
          </a:pPr>
          <a:r>
            <a:rPr lang="es-CL" sz="900"/>
            <a:t>LU: </a:t>
          </a:r>
        </a:p>
        <a:p>
          <a:pPr marL="265113" indent="-265113">
            <a:tabLst>
              <a:tab pos="265113" algn="l"/>
            </a:tabLst>
          </a:pPr>
          <a:r>
            <a:rPr lang="es-CL" sz="900"/>
            <a:t>MA: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MI:</a:t>
          </a:r>
          <a:r>
            <a:rPr lang="es-ES" sz="900" baseline="0"/>
            <a:t>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JU: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VI:  .</a:t>
          </a:r>
          <a:endParaRPr lang="es-CL" sz="900"/>
        </a:p>
      </xdr:txBody>
    </xdr:sp>
    <xdr:clientData/>
  </xdr:twoCellAnchor>
  <xdr:twoCellAnchor editAs="oneCell">
    <xdr:from>
      <xdr:col>3</xdr:col>
      <xdr:colOff>139701</xdr:colOff>
      <xdr:row>26</xdr:row>
      <xdr:rowOff>30327</xdr:rowOff>
    </xdr:from>
    <xdr:to>
      <xdr:col>7</xdr:col>
      <xdr:colOff>180341</xdr:colOff>
      <xdr:row>31</xdr:row>
      <xdr:rowOff>76200</xdr:rowOff>
    </xdr:to>
    <xdr:pic>
      <xdr:nvPicPr>
        <xdr:cNvPr id="28" name="Imagen 2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921001" y="5905347"/>
          <a:ext cx="4391660" cy="1036473"/>
        </a:xfrm>
        <a:prstGeom prst="rect">
          <a:avLst/>
        </a:prstGeom>
      </xdr:spPr>
    </xdr:pic>
    <xdr:clientData/>
  </xdr:twoCellAnchor>
  <xdr:twoCellAnchor editAs="oneCell">
    <xdr:from>
      <xdr:col>2</xdr:col>
      <xdr:colOff>165100</xdr:colOff>
      <xdr:row>24</xdr:row>
      <xdr:rowOff>177800</xdr:rowOff>
    </xdr:from>
    <xdr:to>
      <xdr:col>6</xdr:col>
      <xdr:colOff>849775</xdr:colOff>
      <xdr:row>41</xdr:row>
      <xdr:rowOff>192325</xdr:rowOff>
    </xdr:to>
    <xdr:pic>
      <xdr:nvPicPr>
        <xdr:cNvPr id="30" name="Imagen 2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866900" y="5689600"/>
          <a:ext cx="4608975" cy="346892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3" name="Tabla134" displayName="Tabla134" ref="M2:V71" totalsRowShown="0">
  <autoFilter ref="M2:V71"/>
  <sortState ref="M2:S35">
    <sortCondition ref="M2"/>
  </sortState>
  <tableColumns count="10">
    <tableColumn id="2" name="Columna2" dataDxfId="203">
      <calculatedColumnFormula>Tabla5[[#This Row],[Columna1]]</calculatedColumnFormula>
    </tableColumn>
    <tableColumn id="9" name="Columna22" dataDxfId="202"/>
    <tableColumn id="8" name="Columna3" dataDxfId="201"/>
    <tableColumn id="3" name="Llegada a instalación" dataDxfId="200">
      <calculatedColumnFormula>D3</calculatedColumnFormula>
    </tableColumn>
    <tableColumn id="4" name="Tiempo en instalación " dataDxfId="199">
      <calculatedColumnFormula>E3-D3</calculatedColumnFormula>
    </tableColumn>
    <tableColumn id="5" name="Traslado a postura " dataDxfId="198">
      <calculatedColumnFormula>F3-E3</calculatedColumnFormula>
    </tableColumn>
    <tableColumn id="6" name="Tiempo disponible AM" dataDxfId="197">
      <calculatedColumnFormula>#REF!-F3</calculatedColumnFormula>
    </tableColumn>
    <tableColumn id="12" name="Traslado Colación" dataDxfId="196">
      <calculatedColumnFormula>H3-G3</calculatedColumnFormula>
    </tableColumn>
    <tableColumn id="7" name="Almuerzo" dataDxfId="195">
      <calculatedColumnFormula>#REF!-#REF!</calculatedColumnFormula>
    </tableColumn>
    <tableColumn id="10" name="Tiempo disponible PM" dataDxfId="194">
      <calculatedColumnFormula>#REF!-#REF!</calculatedColumnFormula>
    </tableColumn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37" name="Tabla538" displayName="Tabla538" ref="A2:J23" totalsRowShown="0" headerRowDxfId="108" dataDxfId="107" tableBorderDxfId="106">
  <autoFilter ref="A2:J23"/>
  <sortState ref="A3:J19">
    <sortCondition ref="A3"/>
  </sortState>
  <tableColumns count="10">
    <tableColumn id="1" name="Columna1" dataDxfId="105"/>
    <tableColumn id="14" name="Dia" dataDxfId="104"/>
    <tableColumn id="2" name="FECHA" dataDxfId="103"/>
    <tableColumn id="3" name="LLEGADA INSTALACION" dataDxfId="102"/>
    <tableColumn id="4" name="SALIDA INSTALACION" dataDxfId="101"/>
    <tableColumn id="5" name="INICIO ACT.     AM" dataDxfId="100"/>
    <tableColumn id="6" name="TERMINO ACT. AM" dataDxfId="99"/>
    <tableColumn id="12" name="ALMUERZO"/>
    <tableColumn id="7" name="INICIO ACTIVIDADES PM" dataDxfId="98"/>
    <tableColumn id="13" name="TERMINO ACTIVIDADES PM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" name="Tabla1342" displayName="Tabla1342" ref="M2:V71" totalsRowShown="0">
  <autoFilter ref="M2:V71"/>
  <sortState ref="M3:S36">
    <sortCondition ref="M2"/>
  </sortState>
  <tableColumns count="10">
    <tableColumn id="2" name="Columna2" dataDxfId="97">
      <calculatedColumnFormula>Tabla5[[#This Row],[Columna1]]</calculatedColumnFormula>
    </tableColumn>
    <tableColumn id="9" name="Columna22" dataDxfId="96"/>
    <tableColumn id="8" name="Columna3" dataDxfId="95"/>
    <tableColumn id="3" name="Llegada a instalación" dataDxfId="94">
      <calculatedColumnFormula>D3</calculatedColumnFormula>
    </tableColumn>
    <tableColumn id="4" name="Tiempo en instalación " dataDxfId="93">
      <calculatedColumnFormula>E3-D3</calculatedColumnFormula>
    </tableColumn>
    <tableColumn id="5" name="Traslado a postura " dataDxfId="92">
      <calculatedColumnFormula>F3-E3</calculatedColumnFormula>
    </tableColumn>
    <tableColumn id="6" name="Tiempo disponible AM" dataDxfId="91">
      <calculatedColumnFormula>#REF!-F3</calculatedColumnFormula>
    </tableColumn>
    <tableColumn id="12" name="Traslado Colación" dataDxfId="90">
      <calculatedColumnFormula>H3-G3</calculatedColumnFormula>
    </tableColumn>
    <tableColumn id="7" name="Almuerzo" dataDxfId="89">
      <calculatedColumnFormula>#REF!-#REF!</calculatedColumnFormula>
    </tableColumn>
    <tableColumn id="10" name="Tiempo disponible PM" dataDxfId="88">
      <calculatedColumnFormula>#REF!-#REF!</calculatedColumnFormula>
    </tableColumn>
  </tableColumns>
  <tableStyleInfo showFirstColumn="0" showLastColumn="0" showRowStripes="1" showColumnStripes="0"/>
</table>
</file>

<file path=xl/tables/table12.xml><?xml version="1.0" encoding="utf-8"?>
<table xmlns="http://schemas.openxmlformats.org/spreadsheetml/2006/main" id="2" name="Tabla53" displayName="Tabla53" ref="A2:J23" totalsRowShown="0" headerRowDxfId="87" dataDxfId="86" tableBorderDxfId="85">
  <autoFilter ref="A2:J23"/>
  <sortState ref="A3:J19">
    <sortCondition ref="A3"/>
  </sortState>
  <tableColumns count="10">
    <tableColumn id="1" name="Columna1" dataDxfId="84"/>
    <tableColumn id="14" name="Dia" dataDxfId="83"/>
    <tableColumn id="2" name="FECHA" dataDxfId="82"/>
    <tableColumn id="3" name="LLEGADA INSTALACION" dataDxfId="81"/>
    <tableColumn id="4" name="SALIDA INSTALACION" dataDxfId="80"/>
    <tableColumn id="5" name="INICIO ACT.     AM" dataDxfId="79"/>
    <tableColumn id="6" name="TERMINO ACT. AM" dataDxfId="78"/>
    <tableColumn id="12" name="ALMUERZO"/>
    <tableColumn id="7" name="INICIO ACTIVIDADES PM" dataDxfId="77"/>
    <tableColumn id="13" name="TERMINO ACTIVIDADES PM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38" name="Tabla53839" displayName="Tabla53839" ref="A2:J23" totalsRowShown="0" headerRowDxfId="76" dataDxfId="75" tableBorderDxfId="74">
  <autoFilter ref="A2:J23"/>
  <sortState ref="A3:J19">
    <sortCondition ref="A3"/>
  </sortState>
  <tableColumns count="10">
    <tableColumn id="1" name="Columna1" dataDxfId="73"/>
    <tableColumn id="14" name="Dia" dataDxfId="72"/>
    <tableColumn id="2" name="FECHA" dataDxfId="71"/>
    <tableColumn id="3" name="LLEGADA INSTALACION" dataDxfId="70"/>
    <tableColumn id="4" name="SALIDA INSTALACION" dataDxfId="69"/>
    <tableColumn id="5" name="INICIO ACT.     AM" dataDxfId="68"/>
    <tableColumn id="6" name="TERMINO ACT. AM" dataDxfId="67"/>
    <tableColumn id="12" name="ALMUERZO"/>
    <tableColumn id="7" name="INICIO ACTIVIDADES PM" dataDxfId="66"/>
    <tableColumn id="13" name="TERMINO ACTIVIDADES PM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39" name="Tabla5383940" displayName="Tabla5383940" ref="A2:J23" totalsRowShown="0" headerRowDxfId="65" dataDxfId="64" tableBorderDxfId="63">
  <autoFilter ref="A2:J23"/>
  <sortState ref="A3:J19">
    <sortCondition ref="A3"/>
  </sortState>
  <tableColumns count="10">
    <tableColumn id="1" name="Columna1" dataDxfId="62"/>
    <tableColumn id="14" name="Dia" dataDxfId="61"/>
    <tableColumn id="2" name="FECHA" dataDxfId="60"/>
    <tableColumn id="3" name="LLEGADA INSTALACION" dataDxfId="59"/>
    <tableColumn id="4" name="SALIDA INSTALACION" dataDxfId="58"/>
    <tableColumn id="5" name="INICIO ACT.     AM" dataDxfId="57"/>
    <tableColumn id="6" name="TERMINO ACT. AM" dataDxfId="56"/>
    <tableColumn id="12" name="ALMUERZO"/>
    <tableColumn id="7" name="INICIO ACTIVIDADES PM" dataDxfId="55"/>
    <tableColumn id="13" name="TERMINO ACTIVIDADES PM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42" name="Tabla5383940414243" displayName="Tabla5383940414243" ref="A2:J23" totalsRowShown="0" headerRowDxfId="54" dataDxfId="53" tableBorderDxfId="52">
  <autoFilter ref="A2:J23"/>
  <sortState ref="A3:J19">
    <sortCondition ref="A3"/>
  </sortState>
  <tableColumns count="10">
    <tableColumn id="1" name="Columna1" dataDxfId="51"/>
    <tableColumn id="14" name="Dia" dataDxfId="50"/>
    <tableColumn id="2" name="FECHA" dataDxfId="49"/>
    <tableColumn id="3" name="LLEGADA INSTALACION" dataDxfId="48"/>
    <tableColumn id="4" name="SALIDA INSTALACION" dataDxfId="47"/>
    <tableColumn id="5" name="INICIO ACT.     AM" dataDxfId="46"/>
    <tableColumn id="6" name="TERMINO ACT. AM" dataDxfId="45"/>
    <tableColumn id="12" name="ALMUERZO"/>
    <tableColumn id="7" name="INICIO ACTIVIDADES PM" dataDxfId="44"/>
    <tableColumn id="13" name="TERMINO ACTIVIDADES PM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40" name="Tabla538394041" displayName="Tabla538394041" ref="A2:J23" totalsRowShown="0" headerRowDxfId="43" dataDxfId="42" tableBorderDxfId="41">
  <autoFilter ref="A2:J23"/>
  <sortState ref="A3:J19">
    <sortCondition ref="A3"/>
  </sortState>
  <tableColumns count="10">
    <tableColumn id="1" name="Columna1" dataDxfId="40"/>
    <tableColumn id="14" name="Dia" dataDxfId="39"/>
    <tableColumn id="2" name="FECHA" dataDxfId="38"/>
    <tableColumn id="3" name="LLEGADA INSTALACION" dataDxfId="37"/>
    <tableColumn id="4" name="SALIDA INSTALACION" dataDxfId="36"/>
    <tableColumn id="5" name="INICIO ACT.     AM" dataDxfId="35"/>
    <tableColumn id="6" name="TERMINO ACT. AM" dataDxfId="34"/>
    <tableColumn id="12" name="ALMUERZO"/>
    <tableColumn id="7" name="INICIO ACTIVIDADES PM" dataDxfId="33"/>
    <tableColumn id="13" name="TERMINO ACTIVIDADES PM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41" name="Tabla53839404142" displayName="Tabla53839404142" ref="A2:J23" totalsRowShown="0" headerRowDxfId="32" dataDxfId="31" tableBorderDxfId="30">
  <autoFilter ref="A2:J23"/>
  <sortState ref="A3:J19">
    <sortCondition ref="A3"/>
  </sortState>
  <tableColumns count="10">
    <tableColumn id="1" name="Columna1" dataDxfId="29"/>
    <tableColumn id="14" name="Dia" dataDxfId="28"/>
    <tableColumn id="2" name="FECHA" dataDxfId="27"/>
    <tableColumn id="3" name="LLEGADA INSTALACION" dataDxfId="26"/>
    <tableColumn id="4" name="SALIDA INSTALACION" dataDxfId="25"/>
    <tableColumn id="5" name="INICIO ACT.     AM" dataDxfId="24"/>
    <tableColumn id="6" name="TERMINO ACT. AM" dataDxfId="23"/>
    <tableColumn id="12" name="ALMUERZO"/>
    <tableColumn id="7" name="INICIO ACTIVIDADES PM" dataDxfId="22"/>
    <tableColumn id="13" name="TERMINO ACTIVIDADES PM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43" name="Tabla538394041424344" displayName="Tabla538394041424344" ref="A2:J23" totalsRowShown="0" headerRowDxfId="21" dataDxfId="20" tableBorderDxfId="19">
  <autoFilter ref="A2:J23"/>
  <sortState ref="A3:J19">
    <sortCondition ref="A3"/>
  </sortState>
  <tableColumns count="10">
    <tableColumn id="1" name="Columna1" dataDxfId="18"/>
    <tableColumn id="14" name="Dia" dataDxfId="17"/>
    <tableColumn id="2" name="FECHA" dataDxfId="16"/>
    <tableColumn id="3" name="LLEGADA INSTALACION" dataDxfId="15"/>
    <tableColumn id="4" name="SALIDA INSTALACION" dataDxfId="14"/>
    <tableColumn id="5" name="INICIO ACT.     AM" dataDxfId="13"/>
    <tableColumn id="6" name="TERMINO ACT. AM" dataDxfId="12"/>
    <tableColumn id="12" name="ALMUERZO"/>
    <tableColumn id="7" name="INICIO ACTIVIDADES PM" dataDxfId="11"/>
    <tableColumn id="13" name="TERMINO ACTIVIDADES PM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45" name="Tabla5383940414243444546" displayName="Tabla5383940414243444546" ref="A2:J23" totalsRowShown="0" headerRowDxfId="10" dataDxfId="9" tableBorderDxfId="8">
  <autoFilter ref="A2:J23"/>
  <sortState ref="A3:J19">
    <sortCondition ref="A3"/>
  </sortState>
  <tableColumns count="10">
    <tableColumn id="1" name="Columna1" dataDxfId="7"/>
    <tableColumn id="14" name="Dia" dataDxfId="6"/>
    <tableColumn id="2" name="FECHA" dataDxfId="5"/>
    <tableColumn id="3" name="LLEGADA INSTALACION" dataDxfId="4"/>
    <tableColumn id="4" name="SALIDA INSTALACION" dataDxfId="3"/>
    <tableColumn id="5" name="INICIO ACT.     AM" dataDxfId="2"/>
    <tableColumn id="6" name="TERMINO ACT. AM" dataDxfId="1"/>
    <tableColumn id="12" name="ALMUERZO"/>
    <tableColumn id="7" name="INICIO ACTIVIDADES PM" dataDxfId="0"/>
    <tableColumn id="13" name="TERMINO ACTIVIDADES PM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5" name="Tabla5" displayName="Tabla5" ref="A2:J23" totalsRowShown="0" headerRowDxfId="193" dataDxfId="192" tableBorderDxfId="191">
  <autoFilter ref="A2:J23"/>
  <sortState ref="A3:J19">
    <sortCondition ref="A3"/>
  </sortState>
  <tableColumns count="10">
    <tableColumn id="1" name="Columna1" dataDxfId="190"/>
    <tableColumn id="14" name="Dia" dataDxfId="189"/>
    <tableColumn id="2" name="FECHA" dataDxfId="188"/>
    <tableColumn id="3" name="LLEGADA INSTALACION" dataDxfId="187"/>
    <tableColumn id="4" name="SALIDA INSTALACION" dataDxfId="186"/>
    <tableColumn id="5" name="INICIO ACT.     AM" dataDxfId="185"/>
    <tableColumn id="6" name="TERMINO ACT. AM" dataDxfId="184"/>
    <tableColumn id="12" name="ALMUERZO"/>
    <tableColumn id="7" name="INICIO ACTIVIDADES PM" dataDxfId="183"/>
    <tableColumn id="13" name="TERMINO ACTIVIDADES PM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Tabla13412" displayName="Tabla13412" ref="M2:V71" totalsRowShown="0">
  <sortState ref="M3:S36">
    <sortCondition ref="M2"/>
  </sortState>
  <tableColumns count="10">
    <tableColumn id="2" name="Columna2" dataDxfId="182">
      <calculatedColumnFormula>Tabla5[[#This Row],[Columna1]]</calculatedColumnFormula>
    </tableColumn>
    <tableColumn id="9" name="Columna22" dataDxfId="181"/>
    <tableColumn id="8" name="Columna3" dataDxfId="180"/>
    <tableColumn id="3" name="Llegada a instalación" dataDxfId="179">
      <calculatedColumnFormula>D3</calculatedColumnFormula>
    </tableColumn>
    <tableColumn id="4" name="Tiempo en instalación " dataDxfId="178">
      <calculatedColumnFormula>E3-D3</calculatedColumnFormula>
    </tableColumn>
    <tableColumn id="5" name="Traslado a postura " dataDxfId="177">
      <calculatedColumnFormula>F3-E3</calculatedColumnFormula>
    </tableColumn>
    <tableColumn id="6" name="Tiempo disponible AM" dataDxfId="176">
      <calculatedColumnFormula>#REF!-F3</calculatedColumnFormula>
    </tableColumn>
    <tableColumn id="12" name="Traslado Colación" dataDxfId="175">
      <calculatedColumnFormula>H3-G3</calculatedColumnFormula>
    </tableColumn>
    <tableColumn id="7" name="Almuerzo" dataDxfId="174">
      <calculatedColumnFormula>#REF!-#REF!</calculatedColumnFormula>
    </tableColumn>
    <tableColumn id="10" name="Tiempo disponible PM" dataDxfId="173">
      <calculatedColumnFormula>#REF!-#REF!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2" name="Tabla513" displayName="Tabla513" ref="A2:J23" totalsRowShown="0" headerRowDxfId="172" dataDxfId="171" tableBorderDxfId="170">
  <autoFilter ref="A2:J23"/>
  <sortState ref="A3:J19">
    <sortCondition ref="A3"/>
  </sortState>
  <tableColumns count="10">
    <tableColumn id="1" name="Columna1" dataDxfId="169"/>
    <tableColumn id="14" name="Dia" dataDxfId="168"/>
    <tableColumn id="2" name="FECHA" dataDxfId="167"/>
    <tableColumn id="3" name="LLEGADA INSTALACION" dataDxfId="166"/>
    <tableColumn id="4" name="SALIDA INSTALACION" dataDxfId="165"/>
    <tableColumn id="5" name="INICIO ACT.     AM" dataDxfId="164"/>
    <tableColumn id="6" name="TERMINO ACT. AM" dataDxfId="163"/>
    <tableColumn id="12" name="ALMUERZO"/>
    <tableColumn id="7" name="INICIO ACTIVIDADES PM" dataDxfId="162"/>
    <tableColumn id="13" name="TERMINO ACTIVIDADES PM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32" name="Tabla1341233" displayName="Tabla1341233" ref="M2:V71" totalsRowShown="0">
  <autoFilter ref="M2:V71"/>
  <sortState ref="M3:S36">
    <sortCondition ref="M2"/>
  </sortState>
  <tableColumns count="10">
    <tableColumn id="2" name="Columna2" dataDxfId="161">
      <calculatedColumnFormula>Tabla5[[#This Row],[Columna1]]</calculatedColumnFormula>
    </tableColumn>
    <tableColumn id="9" name="Columna22" dataDxfId="160"/>
    <tableColumn id="8" name="Columna3" dataDxfId="159"/>
    <tableColumn id="3" name="Llegada a instalación" dataDxfId="158">
      <calculatedColumnFormula>D3</calculatedColumnFormula>
    </tableColumn>
    <tableColumn id="4" name="Tiempo en instalación " dataDxfId="157">
      <calculatedColumnFormula>E3-D3</calculatedColumnFormula>
    </tableColumn>
    <tableColumn id="5" name="Traslado a postura " dataDxfId="156">
      <calculatedColumnFormula>F3-E3</calculatedColumnFormula>
    </tableColumn>
    <tableColumn id="6" name="Tiempo disponible AM" dataDxfId="155">
      <calculatedColumnFormula>#REF!-F3</calculatedColumnFormula>
    </tableColumn>
    <tableColumn id="12" name="Traslado Colación" dataDxfId="154">
      <calculatedColumnFormula>H3-G3</calculatedColumnFormula>
    </tableColumn>
    <tableColumn id="7" name="Almuerzo" dataDxfId="153">
      <calculatedColumnFormula>#REF!-#REF!</calculatedColumnFormula>
    </tableColumn>
    <tableColumn id="10" name="Tiempo disponible PM" dataDxfId="152">
      <calculatedColumnFormula>#REF!-#REF!</calculatedColumnFormula>
    </tableColumn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id="33" name="Tabla51334" displayName="Tabla51334" ref="A2:J23" totalsRowShown="0" headerRowDxfId="151" dataDxfId="150" tableBorderDxfId="149">
  <autoFilter ref="A2:J23"/>
  <sortState ref="A3:J19">
    <sortCondition ref="A3"/>
  </sortState>
  <tableColumns count="10">
    <tableColumn id="1" name="Columna1" dataDxfId="148"/>
    <tableColumn id="14" name="Dia" dataDxfId="147"/>
    <tableColumn id="2" name="FECHA" dataDxfId="146"/>
    <tableColumn id="3" name="LLEGADA INSTALACION" dataDxfId="145"/>
    <tableColumn id="4" name="SALIDA INSTALACION" dataDxfId="144"/>
    <tableColumn id="5" name="INICIO ACT.     AM" dataDxfId="143"/>
    <tableColumn id="6" name="TERMINO ACT. AM" dataDxfId="142"/>
    <tableColumn id="12" name="ALMUERZO"/>
    <tableColumn id="7" name="INICIO ACTIVIDADES PM" dataDxfId="141"/>
    <tableColumn id="13" name="TERMINO ACTIVIDADES PM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34" name="Tabla13435" displayName="Tabla13435" ref="M2:V71" totalsRowShown="0">
  <autoFilter ref="M2:V71"/>
  <sortState ref="M3:S36">
    <sortCondition ref="M2"/>
  </sortState>
  <tableColumns count="10">
    <tableColumn id="2" name="Columna2" dataDxfId="140">
      <calculatedColumnFormula>Tabla5[[#This Row],[Columna1]]</calculatedColumnFormula>
    </tableColumn>
    <tableColumn id="9" name="Columna22" dataDxfId="139"/>
    <tableColumn id="8" name="Columna3" dataDxfId="138"/>
    <tableColumn id="3" name="Llegada a instalación" dataDxfId="137">
      <calculatedColumnFormula>D3</calculatedColumnFormula>
    </tableColumn>
    <tableColumn id="4" name="Tiempo en instalación " dataDxfId="136">
      <calculatedColumnFormula>E3-D3</calculatedColumnFormula>
    </tableColumn>
    <tableColumn id="5" name="Traslado a postura " dataDxfId="135">
      <calculatedColumnFormula>F3-E3</calculatedColumnFormula>
    </tableColumn>
    <tableColumn id="6" name="Tiempo disponible AM" dataDxfId="134">
      <calculatedColumnFormula>#REF!-F3</calculatedColumnFormula>
    </tableColumn>
    <tableColumn id="12" name="Traslado Colación" dataDxfId="133">
      <calculatedColumnFormula>H3-G3</calculatedColumnFormula>
    </tableColumn>
    <tableColumn id="7" name="Almuerzo" dataDxfId="132">
      <calculatedColumnFormula>#REF!-#REF!</calculatedColumnFormula>
    </tableColumn>
    <tableColumn id="10" name="Tiempo disponible PM" dataDxfId="131">
      <calculatedColumnFormula>#REF!-#REF!</calculatedColumnFormula>
    </tableColumn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id="35" name="Tabla536" displayName="Tabla536" ref="A2:J23" totalsRowShown="0" headerRowDxfId="130" dataDxfId="129" tableBorderDxfId="128">
  <autoFilter ref="A2:J23"/>
  <sortState ref="A3:J19">
    <sortCondition ref="A3"/>
  </sortState>
  <tableColumns count="10">
    <tableColumn id="1" name="Columna1" dataDxfId="127"/>
    <tableColumn id="14" name="Dia" dataDxfId="126"/>
    <tableColumn id="2" name="FECHA" dataDxfId="125"/>
    <tableColumn id="3" name="LLEGADA INSTALACION" dataDxfId="124"/>
    <tableColumn id="4" name="SALIDA INSTALACION" dataDxfId="123"/>
    <tableColumn id="5" name="INICIO ACT.     AM" dataDxfId="122"/>
    <tableColumn id="6" name="TERMINO ACT. AM" dataDxfId="121"/>
    <tableColumn id="12" name="ALMUERZO"/>
    <tableColumn id="7" name="INICIO ACTIVIDADES PM" dataDxfId="120"/>
    <tableColumn id="13" name="TERMINO ACTIVIDADES PM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36" name="Tabla537" displayName="Tabla537" ref="A2:J23" totalsRowShown="0" headerRowDxfId="119" dataDxfId="118" tableBorderDxfId="117">
  <autoFilter ref="A2:J23"/>
  <sortState ref="A3:J19">
    <sortCondition ref="A3"/>
  </sortState>
  <tableColumns count="10">
    <tableColumn id="1" name="Columna1" dataDxfId="116"/>
    <tableColumn id="14" name="Dia" dataDxfId="115"/>
    <tableColumn id="2" name="FECHA" dataDxfId="114"/>
    <tableColumn id="3" name="LLEGADA INSTALACION" dataDxfId="113"/>
    <tableColumn id="4" name="SALIDA INSTALACION" dataDxfId="112"/>
    <tableColumn id="5" name="INICIO ACT.     AM" dataDxfId="111"/>
    <tableColumn id="6" name="TERMINO ACT. AM" dataDxfId="110"/>
    <tableColumn id="12" name="ALMUERZO"/>
    <tableColumn id="7" name="INICIO ACTIVIDADES PM" dataDxfId="109"/>
    <tableColumn id="13" name="TERMINO ACTIVIDADES PM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9.xml"/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4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6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table" Target="../tables/table8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72"/>
  <sheetViews>
    <sheetView showGridLines="0" zoomScale="60" zoomScaleNormal="60" workbookViewId="0">
      <selection activeCell="F7" sqref="F7"/>
    </sheetView>
  </sheetViews>
  <sheetFormatPr baseColWidth="10" defaultRowHeight="15.6" x14ac:dyDescent="0.3"/>
  <cols>
    <col min="1" max="1" width="11.19921875" customWidth="1"/>
    <col min="2" max="2" width="7.69921875" customWidth="1"/>
    <col min="3" max="3" width="13.59765625" customWidth="1"/>
    <col min="4" max="4" width="14.59765625" customWidth="1"/>
    <col min="5" max="5" width="14.3984375" customWidth="1"/>
    <col min="6" max="6" width="15.8984375" customWidth="1"/>
    <col min="7" max="7" width="18.8984375" customWidth="1"/>
    <col min="8" max="9" width="14.59765625" customWidth="1"/>
    <col min="10" max="10" width="15.5" customWidth="1"/>
    <col min="11" max="11" width="33.69921875" customWidth="1"/>
    <col min="12" max="12" width="15.3984375" customWidth="1"/>
    <col min="13" max="14" width="11.19921875" customWidth="1"/>
    <col min="15" max="15" width="17.09765625" bestFit="1" customWidth="1"/>
    <col min="16" max="16" width="15.19921875" bestFit="1" customWidth="1"/>
    <col min="17" max="17" width="16.3984375" customWidth="1"/>
    <col min="18" max="18" width="19.19921875" customWidth="1"/>
    <col min="19" max="20" width="16.09765625" customWidth="1"/>
    <col min="21" max="21" width="18.8984375" bestFit="1" customWidth="1"/>
    <col min="22" max="22" width="14.19921875" customWidth="1"/>
    <col min="23" max="29" width="13.59765625" customWidth="1"/>
  </cols>
  <sheetData>
    <row r="1" spans="1:29" x14ac:dyDescent="0.3">
      <c r="C1" s="31" t="s">
        <v>0</v>
      </c>
      <c r="D1" s="32">
        <v>0.33333333333333331</v>
      </c>
      <c r="E1" s="32">
        <v>0.35416666666666669</v>
      </c>
      <c r="F1" s="32">
        <v>0.375</v>
      </c>
      <c r="G1" s="32">
        <v>0.59375</v>
      </c>
      <c r="H1" s="32">
        <v>0.61458333333333337</v>
      </c>
      <c r="I1" s="32">
        <v>0.63541666666666663</v>
      </c>
      <c r="J1" s="32">
        <v>0.66666666666666663</v>
      </c>
    </row>
    <row r="2" spans="1:29" ht="46.8" x14ac:dyDescent="0.3">
      <c r="A2" s="13" t="s">
        <v>13</v>
      </c>
      <c r="B2" s="27" t="s">
        <v>39</v>
      </c>
      <c r="C2" s="14" t="s">
        <v>9</v>
      </c>
      <c r="D2" s="15" t="s">
        <v>1</v>
      </c>
      <c r="E2" s="15" t="s">
        <v>20</v>
      </c>
      <c r="F2" s="16" t="s">
        <v>42</v>
      </c>
      <c r="G2" s="16" t="s">
        <v>43</v>
      </c>
      <c r="H2" s="16" t="s">
        <v>21</v>
      </c>
      <c r="I2" s="17" t="s">
        <v>44</v>
      </c>
      <c r="J2" s="16" t="s">
        <v>45</v>
      </c>
      <c r="K2" s="35" t="s">
        <v>36</v>
      </c>
      <c r="M2" s="1" t="s">
        <v>11</v>
      </c>
      <c r="N2" s="1" t="s">
        <v>14</v>
      </c>
      <c r="O2" s="1" t="s">
        <v>12</v>
      </c>
      <c r="P2" s="8" t="s">
        <v>10</v>
      </c>
      <c r="Q2" s="6" t="s">
        <v>35</v>
      </c>
      <c r="R2" s="9" t="s">
        <v>34</v>
      </c>
      <c r="S2" s="6" t="s">
        <v>23</v>
      </c>
      <c r="T2" s="16" t="s">
        <v>53</v>
      </c>
      <c r="U2" s="6" t="s">
        <v>19</v>
      </c>
      <c r="V2" s="21" t="s">
        <v>22</v>
      </c>
      <c r="W2" s="19" t="s">
        <v>30</v>
      </c>
      <c r="X2" s="20" t="s">
        <v>31</v>
      </c>
      <c r="Y2" s="20" t="s">
        <v>32</v>
      </c>
      <c r="Z2" s="20" t="s">
        <v>33</v>
      </c>
      <c r="AA2" s="19" t="s">
        <v>46</v>
      </c>
      <c r="AB2" s="19" t="s">
        <v>47</v>
      </c>
      <c r="AC2" s="19" t="s">
        <v>48</v>
      </c>
    </row>
    <row r="3" spans="1:29" x14ac:dyDescent="0.3">
      <c r="A3" s="12" t="s">
        <v>49</v>
      </c>
      <c r="B3" s="12" t="s">
        <v>37</v>
      </c>
      <c r="C3" s="4">
        <v>44907</v>
      </c>
      <c r="D3" s="37">
        <v>0.33333333333333331</v>
      </c>
      <c r="E3" s="37">
        <v>0.36458333333333331</v>
      </c>
      <c r="F3" s="37">
        <v>0.375</v>
      </c>
      <c r="G3" s="37">
        <v>0.61458333333333337</v>
      </c>
      <c r="H3" s="37">
        <v>0.62152777777777779</v>
      </c>
      <c r="I3" s="37">
        <v>0.64236111111111105</v>
      </c>
      <c r="J3" s="46">
        <v>0.65972222222222221</v>
      </c>
      <c r="K3" s="47"/>
      <c r="L3" s="48"/>
      <c r="M3" s="48"/>
      <c r="N3" s="49" t="s">
        <v>15</v>
      </c>
      <c r="O3" s="4">
        <f>Tabla5[[#This Row],[FECHA]]</f>
        <v>44907</v>
      </c>
      <c r="P3" s="7">
        <f>D3</f>
        <v>0.33333333333333331</v>
      </c>
      <c r="Q3" s="7">
        <f>E3-D3</f>
        <v>3.125E-2</v>
      </c>
      <c r="R3" s="7">
        <f>F3-E3</f>
        <v>1.0416666666666685E-2</v>
      </c>
      <c r="S3" s="7">
        <f>G3-F3</f>
        <v>0.23958333333333337</v>
      </c>
      <c r="T3" s="7">
        <f>+Tabla5[[#This Row],[ALMUERZO]]-Tabla5[[#This Row],[TERMINO ACT. AM]]</f>
        <v>6.9444444444444198E-3</v>
      </c>
      <c r="U3" s="7">
        <f>+Tabla5[[#This Row],[INICIO ACTIVIDADES PM]]-Tabla5[[#This Row],[ALMUERZO]]</f>
        <v>2.0833333333333259E-2</v>
      </c>
      <c r="V3" s="7">
        <f>+Tabla5[[#This Row],[TERMINO ACTIVIDADES PM]]-Tabla5[[#This Row],[INICIO ACTIVIDADES PM]]</f>
        <v>1.736111111111116E-2</v>
      </c>
      <c r="W3" s="3">
        <f>+$D$1</f>
        <v>0.33333333333333331</v>
      </c>
      <c r="X3" s="3">
        <f>+$E$1</f>
        <v>0.35416666666666669</v>
      </c>
      <c r="Y3" s="3">
        <f>+$F$1</f>
        <v>0.375</v>
      </c>
      <c r="Z3" s="3">
        <f>+$G$1</f>
        <v>0.59375</v>
      </c>
      <c r="AA3" s="3">
        <f>+$H$1</f>
        <v>0.61458333333333337</v>
      </c>
      <c r="AB3" s="3">
        <f>+$I$1</f>
        <v>0.63541666666666663</v>
      </c>
      <c r="AC3" s="3">
        <f>+$J$1</f>
        <v>0.66666666666666663</v>
      </c>
    </row>
    <row r="4" spans="1:29" x14ac:dyDescent="0.3">
      <c r="A4" s="12" t="s">
        <v>49</v>
      </c>
      <c r="B4" s="12" t="s">
        <v>26</v>
      </c>
      <c r="C4" s="4">
        <v>44908</v>
      </c>
      <c r="D4" s="37">
        <v>0.33680555555555558</v>
      </c>
      <c r="E4" s="37">
        <v>0.3576388888888889</v>
      </c>
      <c r="F4" s="37">
        <v>0.37708333333333338</v>
      </c>
      <c r="G4" s="37">
        <v>0.61111111111111105</v>
      </c>
      <c r="H4" s="37">
        <v>0.62361111111111112</v>
      </c>
      <c r="I4" s="37">
        <v>0.64583333333333337</v>
      </c>
      <c r="J4" s="46">
        <v>0.65972222222222199</v>
      </c>
      <c r="K4" s="47"/>
      <c r="M4" s="5"/>
      <c r="N4" s="5" t="s">
        <v>16</v>
      </c>
      <c r="O4" s="4">
        <f>Tabla5[[#This Row],[FECHA]]</f>
        <v>44908</v>
      </c>
      <c r="P4" s="7">
        <f>D4</f>
        <v>0.33680555555555558</v>
      </c>
      <c r="Q4" s="7">
        <f t="shared" ref="Q4:Q7" si="0">E4-D4</f>
        <v>2.0833333333333315E-2</v>
      </c>
      <c r="R4" s="7">
        <f t="shared" ref="R4:R7" si="1">F4-E4</f>
        <v>1.9444444444444486E-2</v>
      </c>
      <c r="S4" s="7">
        <f t="shared" ref="S4:S7" si="2">G4-F4</f>
        <v>0.23402777777777767</v>
      </c>
      <c r="T4" s="7">
        <f>+Tabla5[[#This Row],[ALMUERZO]]-Tabla5[[#This Row],[TERMINO ACT. AM]]</f>
        <v>1.2500000000000067E-2</v>
      </c>
      <c r="U4" s="7">
        <f>+Tabla5[[#This Row],[INICIO ACTIVIDADES PM]]-Tabla5[[#This Row],[ALMUERZO]]</f>
        <v>2.2222222222222254E-2</v>
      </c>
      <c r="V4" s="7">
        <f>+Tabla5[[#This Row],[TERMINO ACTIVIDADES PM]]-Tabla5[[#This Row],[INICIO ACTIVIDADES PM]]</f>
        <v>1.3888888888888618E-2</v>
      </c>
      <c r="W4" s="3">
        <f t="shared" ref="W4:W7" si="3">+$D$1</f>
        <v>0.33333333333333331</v>
      </c>
      <c r="X4" s="3">
        <f t="shared" ref="X4:X7" si="4">+$E$1</f>
        <v>0.35416666666666669</v>
      </c>
      <c r="Y4" s="3">
        <f t="shared" ref="Y4:Y7" si="5">+$F$1</f>
        <v>0.375</v>
      </c>
      <c r="Z4" s="3">
        <f t="shared" ref="Z4:Z7" si="6">+$G$1</f>
        <v>0.59375</v>
      </c>
      <c r="AA4" s="3">
        <f t="shared" ref="AA4:AA7" si="7">+$H$1</f>
        <v>0.61458333333333337</v>
      </c>
      <c r="AB4" s="3">
        <f t="shared" ref="AB4:AB7" si="8">+$I$1</f>
        <v>0.63541666666666663</v>
      </c>
      <c r="AC4" s="3">
        <f t="shared" ref="AC4:AC7" si="9">+$J$1</f>
        <v>0.66666666666666663</v>
      </c>
    </row>
    <row r="5" spans="1:29" x14ac:dyDescent="0.3">
      <c r="A5" s="12" t="s">
        <v>49</v>
      </c>
      <c r="B5" s="12" t="s">
        <v>27</v>
      </c>
      <c r="C5" s="4">
        <v>44909</v>
      </c>
      <c r="D5" s="37">
        <v>0.33333333333333331</v>
      </c>
      <c r="E5" s="37">
        <v>0.3611111111111111</v>
      </c>
      <c r="F5" s="37">
        <v>0.37847222222222227</v>
      </c>
      <c r="G5" s="37">
        <v>0.60763888888888895</v>
      </c>
      <c r="H5" s="37">
        <v>0.61458333333333337</v>
      </c>
      <c r="I5" s="37">
        <v>0.63888888888888895</v>
      </c>
      <c r="J5" s="46">
        <v>0.65972222222222221</v>
      </c>
      <c r="K5" s="47"/>
      <c r="M5" s="5"/>
      <c r="N5" s="5" t="s">
        <v>16</v>
      </c>
      <c r="O5" s="4">
        <f>Tabla5[[#This Row],[FECHA]]</f>
        <v>44909</v>
      </c>
      <c r="P5" s="7">
        <f>D5</f>
        <v>0.33333333333333331</v>
      </c>
      <c r="Q5" s="7">
        <f t="shared" si="0"/>
        <v>2.777777777777779E-2</v>
      </c>
      <c r="R5" s="7">
        <f t="shared" si="1"/>
        <v>1.736111111111116E-2</v>
      </c>
      <c r="S5" s="7">
        <f t="shared" si="2"/>
        <v>0.22916666666666669</v>
      </c>
      <c r="T5" s="7">
        <f>+Tabla5[[#This Row],[ALMUERZO]]-Tabla5[[#This Row],[TERMINO ACT. AM]]</f>
        <v>6.9444444444444198E-3</v>
      </c>
      <c r="U5" s="7">
        <f>+Tabla5[[#This Row],[INICIO ACTIVIDADES PM]]-Tabla5[[#This Row],[ALMUERZO]]</f>
        <v>2.430555555555558E-2</v>
      </c>
      <c r="V5" s="7">
        <f>+Tabla5[[#This Row],[TERMINO ACTIVIDADES PM]]-Tabla5[[#This Row],[INICIO ACTIVIDADES PM]]</f>
        <v>2.0833333333333259E-2</v>
      </c>
      <c r="W5" s="3">
        <f t="shared" si="3"/>
        <v>0.33333333333333331</v>
      </c>
      <c r="X5" s="3">
        <f t="shared" si="4"/>
        <v>0.35416666666666669</v>
      </c>
      <c r="Y5" s="3">
        <f t="shared" si="5"/>
        <v>0.375</v>
      </c>
      <c r="Z5" s="3">
        <f t="shared" si="6"/>
        <v>0.59375</v>
      </c>
      <c r="AA5" s="3">
        <f t="shared" si="7"/>
        <v>0.61458333333333337</v>
      </c>
      <c r="AB5" s="3">
        <f t="shared" si="8"/>
        <v>0.63541666666666663</v>
      </c>
      <c r="AC5" s="3">
        <f t="shared" si="9"/>
        <v>0.66666666666666663</v>
      </c>
    </row>
    <row r="6" spans="1:29" x14ac:dyDescent="0.3">
      <c r="A6" s="12" t="s">
        <v>49</v>
      </c>
      <c r="B6" s="12" t="s">
        <v>28</v>
      </c>
      <c r="C6" s="4">
        <v>44910</v>
      </c>
      <c r="D6" s="37">
        <v>0.33680555555555558</v>
      </c>
      <c r="E6" s="37">
        <v>0.35416666666666669</v>
      </c>
      <c r="F6" s="37">
        <v>0.37152777777777773</v>
      </c>
      <c r="G6" s="37">
        <v>0.61111111111111105</v>
      </c>
      <c r="H6" s="37">
        <v>0.62152777777777779</v>
      </c>
      <c r="I6" s="37">
        <v>0.64583333333333337</v>
      </c>
      <c r="J6" s="46">
        <v>0.65972222222222199</v>
      </c>
      <c r="K6" s="47"/>
      <c r="M6" s="5"/>
      <c r="N6" s="5" t="s">
        <v>17</v>
      </c>
      <c r="O6" s="4">
        <f>Tabla5[[#This Row],[FECHA]]</f>
        <v>44910</v>
      </c>
      <c r="P6" s="7">
        <f>D6</f>
        <v>0.33680555555555558</v>
      </c>
      <c r="Q6" s="7">
        <f t="shared" si="0"/>
        <v>1.7361111111111105E-2</v>
      </c>
      <c r="R6" s="7">
        <f t="shared" si="1"/>
        <v>1.7361111111111049E-2</v>
      </c>
      <c r="S6" s="7">
        <f t="shared" si="2"/>
        <v>0.23958333333333331</v>
      </c>
      <c r="T6" s="7">
        <f>+Tabla5[[#This Row],[ALMUERZO]]-Tabla5[[#This Row],[TERMINO ACT. AM]]</f>
        <v>1.0416666666666741E-2</v>
      </c>
      <c r="U6" s="7">
        <f>+Tabla5[[#This Row],[INICIO ACTIVIDADES PM]]-Tabla5[[#This Row],[ALMUERZO]]</f>
        <v>2.430555555555558E-2</v>
      </c>
      <c r="V6" s="7">
        <f>+Tabla5[[#This Row],[TERMINO ACTIVIDADES PM]]-Tabla5[[#This Row],[INICIO ACTIVIDADES PM]]</f>
        <v>1.3888888888888618E-2</v>
      </c>
      <c r="W6" s="3">
        <f t="shared" si="3"/>
        <v>0.33333333333333331</v>
      </c>
      <c r="X6" s="3">
        <f t="shared" si="4"/>
        <v>0.35416666666666669</v>
      </c>
      <c r="Y6" s="3">
        <f t="shared" si="5"/>
        <v>0.375</v>
      </c>
      <c r="Z6" s="3">
        <f t="shared" si="6"/>
        <v>0.59375</v>
      </c>
      <c r="AA6" s="3">
        <f t="shared" si="7"/>
        <v>0.61458333333333337</v>
      </c>
      <c r="AB6" s="3">
        <f t="shared" si="8"/>
        <v>0.63541666666666663</v>
      </c>
      <c r="AC6" s="3">
        <f t="shared" si="9"/>
        <v>0.66666666666666663</v>
      </c>
    </row>
    <row r="7" spans="1:29" x14ac:dyDescent="0.3">
      <c r="A7" s="12" t="s">
        <v>49</v>
      </c>
      <c r="B7" s="12" t="s">
        <v>38</v>
      </c>
      <c r="C7" s="4">
        <v>44911</v>
      </c>
      <c r="D7" s="37">
        <v>0.33333333333333331</v>
      </c>
      <c r="E7" s="37">
        <v>0.3611111111111111</v>
      </c>
      <c r="F7" s="37">
        <v>0.37847222222222227</v>
      </c>
      <c r="G7" s="37">
        <v>0.60763888888888895</v>
      </c>
      <c r="H7" s="37">
        <v>0.62152777777777779</v>
      </c>
      <c r="I7" s="37">
        <v>0.64583333333333337</v>
      </c>
      <c r="J7" s="46">
        <v>0.65972222222222221</v>
      </c>
      <c r="K7" s="47"/>
      <c r="M7" s="5"/>
      <c r="N7" s="5" t="s">
        <v>18</v>
      </c>
      <c r="O7" s="4">
        <f>Tabla5[[#This Row],[FECHA]]</f>
        <v>44911</v>
      </c>
      <c r="P7" s="7">
        <f>D7</f>
        <v>0.33333333333333331</v>
      </c>
      <c r="Q7" s="7">
        <f t="shared" si="0"/>
        <v>2.777777777777779E-2</v>
      </c>
      <c r="R7" s="7">
        <f t="shared" si="1"/>
        <v>1.736111111111116E-2</v>
      </c>
      <c r="S7" s="7">
        <f t="shared" si="2"/>
        <v>0.22916666666666669</v>
      </c>
      <c r="T7" s="7">
        <f>+Tabla5[[#This Row],[ALMUERZO]]-Tabla5[[#This Row],[TERMINO ACT. AM]]</f>
        <v>1.388888888888884E-2</v>
      </c>
      <c r="U7" s="7">
        <f>+Tabla5[[#This Row],[INICIO ACTIVIDADES PM]]-Tabla5[[#This Row],[ALMUERZO]]</f>
        <v>2.430555555555558E-2</v>
      </c>
      <c r="V7" s="7">
        <f>+Tabla5[[#This Row],[TERMINO ACTIVIDADES PM]]-Tabla5[[#This Row],[INICIO ACTIVIDADES PM]]</f>
        <v>1.388888888888884E-2</v>
      </c>
      <c r="W7" s="3">
        <f t="shared" si="3"/>
        <v>0.33333333333333331</v>
      </c>
      <c r="X7" s="3">
        <f t="shared" si="4"/>
        <v>0.35416666666666669</v>
      </c>
      <c r="Y7" s="3">
        <f t="shared" si="5"/>
        <v>0.375</v>
      </c>
      <c r="Z7" s="3">
        <f t="shared" si="6"/>
        <v>0.59375</v>
      </c>
      <c r="AA7" s="3">
        <f t="shared" si="7"/>
        <v>0.61458333333333337</v>
      </c>
      <c r="AB7" s="3">
        <f t="shared" si="8"/>
        <v>0.63541666666666663</v>
      </c>
      <c r="AC7" s="3">
        <f t="shared" si="9"/>
        <v>0.66666666666666663</v>
      </c>
    </row>
    <row r="8" spans="1:29" x14ac:dyDescent="0.3">
      <c r="A8" s="11"/>
      <c r="B8" s="11"/>
      <c r="C8" s="4">
        <v>44912</v>
      </c>
      <c r="D8" s="39"/>
      <c r="E8" s="45"/>
      <c r="F8" s="45"/>
      <c r="G8" s="45"/>
      <c r="H8" s="45"/>
      <c r="I8" s="45"/>
      <c r="J8" s="45"/>
      <c r="K8" s="38"/>
      <c r="M8" s="5"/>
      <c r="N8" s="5"/>
      <c r="O8" s="4"/>
      <c r="P8" s="7"/>
      <c r="Q8" s="7"/>
      <c r="R8" s="7"/>
      <c r="S8" s="7"/>
      <c r="T8" s="7"/>
      <c r="U8" s="7"/>
      <c r="V8" s="7"/>
      <c r="W8" s="3"/>
      <c r="X8" s="3"/>
      <c r="Y8" s="3"/>
      <c r="Z8" s="3"/>
      <c r="AA8" s="3"/>
      <c r="AB8" s="3"/>
      <c r="AC8" s="3"/>
    </row>
    <row r="9" spans="1:29" x14ac:dyDescent="0.3">
      <c r="A9" s="11"/>
      <c r="B9" s="11"/>
      <c r="C9" s="4">
        <v>44913</v>
      </c>
      <c r="D9" s="11"/>
      <c r="E9" s="11"/>
      <c r="F9" s="11"/>
      <c r="G9" s="11"/>
      <c r="H9" s="11"/>
      <c r="I9" s="45"/>
      <c r="J9" s="45"/>
      <c r="K9" s="38"/>
      <c r="M9" s="5">
        <f>Tabla5[[#This Row],[Columna1]]</f>
        <v>0</v>
      </c>
      <c r="N9" s="5"/>
      <c r="O9" s="4"/>
      <c r="P9" s="7"/>
      <c r="Q9" s="7"/>
      <c r="R9" s="7"/>
      <c r="S9" s="7"/>
      <c r="T9" s="7"/>
      <c r="U9" s="7"/>
      <c r="V9" s="7"/>
      <c r="W9" s="3"/>
      <c r="X9" s="3"/>
      <c r="Y9" s="3"/>
      <c r="Z9" s="3"/>
      <c r="AA9" s="3"/>
      <c r="AB9" s="3"/>
      <c r="AC9" s="3"/>
    </row>
    <row r="10" spans="1:29" x14ac:dyDescent="0.3">
      <c r="A10" s="40"/>
      <c r="B10" s="40"/>
      <c r="C10" s="40"/>
      <c r="D10" s="40"/>
      <c r="E10" s="40"/>
      <c r="F10" s="40"/>
      <c r="G10" s="40"/>
      <c r="H10" s="40"/>
      <c r="I10" s="37"/>
      <c r="J10" s="37"/>
      <c r="K10" s="38"/>
      <c r="M10" s="18"/>
      <c r="N10" s="5"/>
      <c r="O10" s="4"/>
      <c r="P10" s="7"/>
      <c r="Q10" s="7"/>
      <c r="R10" s="7"/>
      <c r="S10" s="7"/>
      <c r="T10" s="7"/>
      <c r="U10" s="29"/>
      <c r="V10" s="7"/>
      <c r="W10" s="3"/>
      <c r="X10" s="3"/>
      <c r="Y10" s="3"/>
      <c r="Z10" s="3"/>
      <c r="AA10" s="3"/>
      <c r="AB10" s="3"/>
      <c r="AC10" s="3"/>
    </row>
    <row r="11" spans="1:29" x14ac:dyDescent="0.3">
      <c r="A11" s="40"/>
      <c r="B11" s="40"/>
      <c r="C11" s="40"/>
      <c r="D11" s="40"/>
      <c r="E11" s="40"/>
      <c r="F11" s="40"/>
      <c r="G11" s="40"/>
      <c r="H11" s="40"/>
      <c r="I11" s="37"/>
      <c r="J11" s="37"/>
      <c r="K11" s="38"/>
      <c r="M11" s="5"/>
      <c r="N11" s="5"/>
      <c r="O11" s="4"/>
      <c r="P11" s="7"/>
      <c r="Q11" s="7"/>
      <c r="R11" s="7"/>
      <c r="S11" s="7"/>
      <c r="T11" s="7"/>
      <c r="U11" s="29"/>
      <c r="V11" s="7"/>
      <c r="W11" s="3"/>
      <c r="X11" s="3"/>
      <c r="Y11" s="3"/>
      <c r="Z11" s="3"/>
      <c r="AA11" s="3"/>
      <c r="AB11" s="3"/>
      <c r="AC11" s="3"/>
    </row>
    <row r="12" spans="1:29" x14ac:dyDescent="0.3">
      <c r="A12" s="11"/>
      <c r="B12" s="11"/>
      <c r="C12" s="11"/>
      <c r="D12" s="11"/>
      <c r="E12" s="11"/>
      <c r="F12" s="11"/>
      <c r="G12" s="11"/>
      <c r="H12" s="11"/>
      <c r="I12" s="37"/>
      <c r="J12" s="37"/>
      <c r="K12" s="38"/>
      <c r="M12" s="5"/>
      <c r="N12" s="5"/>
      <c r="O12" s="4"/>
      <c r="P12" s="7"/>
      <c r="Q12" s="7"/>
      <c r="R12" s="7"/>
      <c r="S12" s="7"/>
      <c r="T12" s="7"/>
      <c r="U12" s="29"/>
      <c r="V12" s="7"/>
      <c r="W12" s="3"/>
      <c r="X12" s="3"/>
      <c r="Y12" s="3"/>
      <c r="Z12" s="3"/>
      <c r="AA12" s="3"/>
      <c r="AB12" s="3"/>
      <c r="AC12" s="3"/>
    </row>
    <row r="13" spans="1:29" ht="16.2" thickBot="1" x14ac:dyDescent="0.35">
      <c r="A13" s="12"/>
      <c r="B13" s="12"/>
      <c r="C13" s="12"/>
      <c r="D13" s="12"/>
      <c r="E13" s="12"/>
      <c r="F13" s="12"/>
      <c r="G13" s="12"/>
      <c r="H13" s="12"/>
      <c r="I13" s="10"/>
      <c r="J13" s="10"/>
      <c r="K13" s="34"/>
      <c r="M13" s="5"/>
      <c r="N13" s="5"/>
      <c r="O13" s="4"/>
      <c r="P13" s="7"/>
      <c r="Q13" s="7"/>
      <c r="R13" s="7"/>
      <c r="S13" s="7"/>
      <c r="T13" s="7"/>
      <c r="U13" s="29"/>
      <c r="V13" s="7"/>
      <c r="W13" s="3"/>
      <c r="X13" s="3"/>
      <c r="Y13" s="3"/>
      <c r="Z13" s="3"/>
      <c r="AA13" s="3"/>
      <c r="AB13" s="3"/>
      <c r="AC13" s="3"/>
    </row>
    <row r="14" spans="1:29" ht="16.2" thickBot="1" x14ac:dyDescent="0.35">
      <c r="A14" s="22"/>
      <c r="B14" s="22"/>
      <c r="C14" s="22"/>
      <c r="D14" s="22"/>
      <c r="E14" s="22"/>
      <c r="F14" s="23"/>
      <c r="G14" s="24" t="s">
        <v>24</v>
      </c>
      <c r="H14" s="24"/>
      <c r="I14" s="28"/>
      <c r="J14" s="28"/>
      <c r="K14" s="36"/>
      <c r="M14" s="5"/>
      <c r="N14" s="5"/>
      <c r="O14" s="4"/>
      <c r="P14" s="7"/>
      <c r="Q14" s="7"/>
      <c r="R14" s="7"/>
      <c r="S14" s="7"/>
      <c r="T14" s="7"/>
      <c r="U14" s="29"/>
      <c r="V14" s="7"/>
      <c r="W14" s="3"/>
      <c r="X14" s="3"/>
      <c r="Y14" s="3"/>
      <c r="Z14" s="3"/>
      <c r="AA14" s="3"/>
      <c r="AB14" s="3"/>
      <c r="AC14" s="3"/>
    </row>
    <row r="15" spans="1:29" ht="16.2" thickBot="1" x14ac:dyDescent="0.35">
      <c r="A15" s="22"/>
      <c r="B15" s="22"/>
      <c r="C15" s="22"/>
      <c r="D15" s="22"/>
      <c r="E15" s="22"/>
      <c r="F15" s="26" t="s">
        <v>29</v>
      </c>
      <c r="G15" s="26" t="s">
        <v>78</v>
      </c>
      <c r="H15" s="26"/>
      <c r="I15" s="28"/>
      <c r="J15" s="28"/>
      <c r="K15" s="36"/>
      <c r="T15" s="3"/>
    </row>
    <row r="16" spans="1:29" ht="16.2" thickBot="1" x14ac:dyDescent="0.35">
      <c r="A16" s="22"/>
      <c r="B16" s="22"/>
      <c r="C16" s="22"/>
      <c r="D16" s="22"/>
      <c r="E16" s="22"/>
      <c r="F16" s="23" t="s">
        <v>25</v>
      </c>
      <c r="G16" s="23">
        <f>+(G3-F3)+(J3-I3)</f>
        <v>0.25694444444444453</v>
      </c>
      <c r="H16" s="23"/>
      <c r="I16" s="28"/>
      <c r="J16" s="28"/>
      <c r="K16" s="33"/>
    </row>
    <row r="17" spans="1:20" ht="16.2" thickBot="1" x14ac:dyDescent="0.35">
      <c r="A17" s="22"/>
      <c r="B17" s="22"/>
      <c r="C17" s="22"/>
      <c r="D17" s="22"/>
      <c r="E17" s="22"/>
      <c r="F17" s="23" t="s">
        <v>26</v>
      </c>
      <c r="G17" s="23">
        <f>+(G4-F4)+(J4-I4)</f>
        <v>0.24791666666666629</v>
      </c>
      <c r="H17" s="23"/>
      <c r="I17" s="28"/>
      <c r="J17" s="28"/>
      <c r="K17" s="33"/>
    </row>
    <row r="18" spans="1:20" ht="16.2" thickBot="1" x14ac:dyDescent="0.35">
      <c r="A18" s="22"/>
      <c r="B18" s="22"/>
      <c r="C18" s="22"/>
      <c r="D18" s="22"/>
      <c r="E18" s="22"/>
      <c r="F18" s="23" t="s">
        <v>27</v>
      </c>
      <c r="G18" s="23">
        <f>+(G5-F5)+(J5-I5)</f>
        <v>0.24999999999999994</v>
      </c>
      <c r="H18" s="23"/>
      <c r="I18" s="28"/>
      <c r="J18" s="28"/>
      <c r="K18" s="33"/>
    </row>
    <row r="19" spans="1:20" ht="16.2" thickBot="1" x14ac:dyDescent="0.35">
      <c r="A19" s="22"/>
      <c r="B19" s="22"/>
      <c r="C19" s="22"/>
      <c r="D19" s="22"/>
      <c r="E19" s="22"/>
      <c r="F19" s="23" t="s">
        <v>28</v>
      </c>
      <c r="G19" s="23">
        <f>+(G6-F6)+(J6-I6)</f>
        <v>0.25347222222222193</v>
      </c>
      <c r="H19" s="23"/>
      <c r="I19" s="28"/>
      <c r="J19" s="28"/>
      <c r="K19" s="33"/>
    </row>
    <row r="20" spans="1:20" ht="16.2" thickBot="1" x14ac:dyDescent="0.35">
      <c r="A20" s="22"/>
      <c r="B20" s="22"/>
      <c r="C20" s="22"/>
      <c r="D20" s="22"/>
      <c r="E20" s="22"/>
      <c r="F20" s="23" t="s">
        <v>50</v>
      </c>
      <c r="G20" s="23">
        <f>+(G7-F7)+(J7-I7)</f>
        <v>0.24305555555555552</v>
      </c>
      <c r="H20" s="23"/>
      <c r="I20" s="28"/>
      <c r="J20" s="28"/>
      <c r="K20" s="33"/>
    </row>
    <row r="21" spans="1:20" ht="20.25" customHeight="1" thickBot="1" x14ac:dyDescent="0.35">
      <c r="A21" s="22"/>
      <c r="B21" s="22"/>
      <c r="C21" s="22"/>
      <c r="D21" s="22"/>
      <c r="E21" s="22"/>
      <c r="F21" s="30" t="s">
        <v>40</v>
      </c>
      <c r="G21" s="30">
        <f>+AVERAGEIF(G16:G20, "&lt;&gt; 0")</f>
        <v>0.25027777777777765</v>
      </c>
      <c r="H21" s="30"/>
      <c r="I21" s="28"/>
      <c r="J21" s="28"/>
      <c r="K21" s="33"/>
    </row>
    <row r="22" spans="1:20" ht="16.2" thickBot="1" x14ac:dyDescent="0.35">
      <c r="A22" s="22"/>
      <c r="B22" s="22"/>
      <c r="C22" s="22"/>
      <c r="D22" s="22"/>
      <c r="E22" s="22"/>
      <c r="F22" s="25" t="s">
        <v>0</v>
      </c>
      <c r="G22" s="25">
        <v>0.25</v>
      </c>
      <c r="H22" s="25"/>
      <c r="I22" s="28"/>
      <c r="J22" s="28"/>
    </row>
    <row r="23" spans="1:20" ht="16.2" thickBot="1" x14ac:dyDescent="0.35">
      <c r="A23" s="41"/>
      <c r="B23" s="41"/>
      <c r="C23" s="42"/>
      <c r="D23" s="43"/>
      <c r="E23" s="43"/>
      <c r="F23" s="30" t="s">
        <v>41</v>
      </c>
      <c r="G23" s="44">
        <f>G21/G22</f>
        <v>1.0011111111111106</v>
      </c>
      <c r="H23" s="44"/>
      <c r="I23" s="43"/>
      <c r="J23" s="28"/>
    </row>
    <row r="24" spans="1:20" x14ac:dyDescent="0.3">
      <c r="E24" s="3"/>
      <c r="F24" s="3"/>
      <c r="I24" s="28"/>
      <c r="J24" s="28"/>
    </row>
    <row r="25" spans="1:20" x14ac:dyDescent="0.3">
      <c r="T25" s="3"/>
    </row>
    <row r="26" spans="1:20" x14ac:dyDescent="0.3">
      <c r="T26" s="3"/>
    </row>
    <row r="27" spans="1:20" x14ac:dyDescent="0.3">
      <c r="T27" s="3"/>
    </row>
    <row r="28" spans="1:20" x14ac:dyDescent="0.3">
      <c r="T28" s="3"/>
    </row>
    <row r="29" spans="1:20" ht="15.6" customHeight="1" x14ac:dyDescent="0.3">
      <c r="H29" s="181" t="s">
        <v>105</v>
      </c>
      <c r="I29" s="182" t="s">
        <v>103</v>
      </c>
      <c r="T29" s="3"/>
    </row>
    <row r="30" spans="1:20" ht="15.6" customHeight="1" x14ac:dyDescent="0.3">
      <c r="H30" s="181"/>
      <c r="I30" s="183"/>
      <c r="T30" s="3"/>
    </row>
    <row r="31" spans="1:20" ht="15.6" customHeight="1" x14ac:dyDescent="0.3">
      <c r="H31" s="181"/>
      <c r="I31" s="183"/>
      <c r="T31" s="3"/>
    </row>
    <row r="32" spans="1:20" ht="15.6" customHeight="1" x14ac:dyDescent="0.3">
      <c r="H32" s="181"/>
      <c r="I32" s="184"/>
      <c r="T32" s="3"/>
    </row>
    <row r="33" spans="20:20" x14ac:dyDescent="0.3">
      <c r="T33" s="3"/>
    </row>
    <row r="34" spans="20:20" x14ac:dyDescent="0.3">
      <c r="T34" s="3"/>
    </row>
    <row r="35" spans="20:20" x14ac:dyDescent="0.3">
      <c r="T35" s="3"/>
    </row>
    <row r="36" spans="20:20" x14ac:dyDescent="0.3">
      <c r="T36" s="3"/>
    </row>
    <row r="37" spans="20:20" x14ac:dyDescent="0.3">
      <c r="T37" s="3"/>
    </row>
    <row r="38" spans="20:20" x14ac:dyDescent="0.3">
      <c r="T38" s="3"/>
    </row>
    <row r="39" spans="20:20" x14ac:dyDescent="0.3">
      <c r="T39" s="3"/>
    </row>
    <row r="40" spans="20:20" x14ac:dyDescent="0.3">
      <c r="T40" s="3"/>
    </row>
    <row r="41" spans="20:20" x14ac:dyDescent="0.3">
      <c r="T41" s="3"/>
    </row>
    <row r="42" spans="20:20" x14ac:dyDescent="0.3">
      <c r="T42" s="3"/>
    </row>
    <row r="43" spans="20:20" x14ac:dyDescent="0.3">
      <c r="T43" s="3"/>
    </row>
    <row r="44" spans="20:20" x14ac:dyDescent="0.3">
      <c r="T44" s="3"/>
    </row>
    <row r="45" spans="20:20" x14ac:dyDescent="0.3">
      <c r="T45" s="3"/>
    </row>
    <row r="46" spans="20:20" x14ac:dyDescent="0.3">
      <c r="T46" s="3"/>
    </row>
    <row r="47" spans="20:20" x14ac:dyDescent="0.3">
      <c r="T47" s="3"/>
    </row>
    <row r="48" spans="20:20" x14ac:dyDescent="0.3">
      <c r="T48" s="3"/>
    </row>
    <row r="49" spans="20:20" x14ac:dyDescent="0.3">
      <c r="T49" s="3"/>
    </row>
    <row r="50" spans="20:20" x14ac:dyDescent="0.3">
      <c r="T50" s="3"/>
    </row>
    <row r="51" spans="20:20" x14ac:dyDescent="0.3">
      <c r="T51" s="3"/>
    </row>
    <row r="52" spans="20:20" x14ac:dyDescent="0.3">
      <c r="T52" s="3"/>
    </row>
    <row r="53" spans="20:20" x14ac:dyDescent="0.3">
      <c r="T53" s="3"/>
    </row>
    <row r="54" spans="20:20" x14ac:dyDescent="0.3">
      <c r="T54" s="3"/>
    </row>
    <row r="55" spans="20:20" x14ac:dyDescent="0.3">
      <c r="T55" s="3"/>
    </row>
    <row r="56" spans="20:20" x14ac:dyDescent="0.3">
      <c r="T56" s="3"/>
    </row>
    <row r="57" spans="20:20" x14ac:dyDescent="0.3">
      <c r="T57" s="3"/>
    </row>
    <row r="58" spans="20:20" x14ac:dyDescent="0.3">
      <c r="T58" s="3"/>
    </row>
    <row r="59" spans="20:20" x14ac:dyDescent="0.3">
      <c r="T59" s="3"/>
    </row>
    <row r="60" spans="20:20" x14ac:dyDescent="0.3">
      <c r="T60" s="3"/>
    </row>
    <row r="61" spans="20:20" x14ac:dyDescent="0.3">
      <c r="T61" s="3"/>
    </row>
    <row r="62" spans="20:20" x14ac:dyDescent="0.3">
      <c r="T62" s="3"/>
    </row>
    <row r="63" spans="20:20" x14ac:dyDescent="0.3">
      <c r="T63" s="3"/>
    </row>
    <row r="64" spans="20:20" x14ac:dyDescent="0.3">
      <c r="T64" s="3"/>
    </row>
    <row r="65" spans="13:22" x14ac:dyDescent="0.3">
      <c r="T65" s="3"/>
    </row>
    <row r="66" spans="13:22" x14ac:dyDescent="0.3">
      <c r="T66" s="3"/>
    </row>
    <row r="67" spans="13:22" x14ac:dyDescent="0.3">
      <c r="T67" s="3"/>
    </row>
    <row r="68" spans="13:22" x14ac:dyDescent="0.3">
      <c r="T68" s="3"/>
    </row>
    <row r="69" spans="13:22" x14ac:dyDescent="0.3">
      <c r="T69" s="3"/>
    </row>
    <row r="70" spans="13:22" x14ac:dyDescent="0.3">
      <c r="T70" s="3"/>
    </row>
    <row r="71" spans="13:22" x14ac:dyDescent="0.3">
      <c r="T71" s="3"/>
    </row>
    <row r="72" spans="13:22" x14ac:dyDescent="0.3">
      <c r="M72" s="22"/>
      <c r="N72" s="22"/>
      <c r="O72" s="22"/>
      <c r="P72" s="22"/>
      <c r="Q72" s="22"/>
      <c r="R72" s="22"/>
      <c r="S72" s="22"/>
      <c r="T72" s="22"/>
      <c r="U72" s="22"/>
      <c r="V72" s="22"/>
    </row>
  </sheetData>
  <mergeCells count="2">
    <mergeCell ref="H29:H32"/>
    <mergeCell ref="I29:I32"/>
  </mergeCells>
  <pageMargins left="0.7" right="0.7" top="0.75" bottom="0.75" header="0.3" footer="0.3"/>
  <pageSetup orientation="portrait" horizontalDpi="1200" verticalDpi="1200" r:id="rId1"/>
  <drawing r:id="rId2"/>
  <tableParts count="2">
    <tablePart r:id="rId3"/>
    <tablePart r:id="rId4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7"/>
  <sheetViews>
    <sheetView zoomScale="60" zoomScaleNormal="60" workbookViewId="0">
      <selection activeCell="F7" sqref="F7"/>
    </sheetView>
  </sheetViews>
  <sheetFormatPr baseColWidth="10" defaultRowHeight="15.6" x14ac:dyDescent="0.3"/>
  <cols>
    <col min="6" max="6" width="15.69921875" customWidth="1"/>
    <col min="7" max="7" width="15.8984375" customWidth="1"/>
  </cols>
  <sheetData>
    <row r="1" spans="1:29" x14ac:dyDescent="0.3">
      <c r="C1" s="31" t="s">
        <v>0</v>
      </c>
      <c r="D1" s="32">
        <v>0.33333333333333331</v>
      </c>
      <c r="E1" s="32">
        <v>0.35416666666666669</v>
      </c>
      <c r="F1" s="32">
        <v>0.375</v>
      </c>
      <c r="G1" s="32">
        <v>0.59375</v>
      </c>
      <c r="H1" s="32">
        <v>0.61458333333333337</v>
      </c>
      <c r="I1" s="32">
        <v>0.63541666666666663</v>
      </c>
      <c r="J1" s="32">
        <v>0.66666666666666663</v>
      </c>
    </row>
    <row r="2" spans="1:29" ht="62.4" x14ac:dyDescent="0.3">
      <c r="A2" s="13" t="s">
        <v>13</v>
      </c>
      <c r="B2" s="27" t="s">
        <v>39</v>
      </c>
      <c r="C2" s="14" t="s">
        <v>9</v>
      </c>
      <c r="D2" s="15" t="s">
        <v>1</v>
      </c>
      <c r="E2" s="15" t="s">
        <v>20</v>
      </c>
      <c r="F2" s="16" t="s">
        <v>42</v>
      </c>
      <c r="G2" s="16" t="s">
        <v>43</v>
      </c>
      <c r="H2" s="16" t="s">
        <v>21</v>
      </c>
      <c r="I2" s="17" t="s">
        <v>44</v>
      </c>
      <c r="J2" s="16" t="s">
        <v>45</v>
      </c>
      <c r="K2" s="35" t="s">
        <v>36</v>
      </c>
      <c r="M2" s="1" t="s">
        <v>11</v>
      </c>
      <c r="N2" s="1" t="s">
        <v>14</v>
      </c>
      <c r="O2" s="1" t="s">
        <v>12</v>
      </c>
      <c r="P2" s="8" t="s">
        <v>10</v>
      </c>
      <c r="Q2" s="6" t="s">
        <v>35</v>
      </c>
      <c r="R2" s="9" t="s">
        <v>34</v>
      </c>
      <c r="S2" s="6" t="s">
        <v>23</v>
      </c>
      <c r="T2" s="16" t="s">
        <v>53</v>
      </c>
      <c r="U2" s="6" t="s">
        <v>19</v>
      </c>
      <c r="V2" s="21" t="s">
        <v>22</v>
      </c>
      <c r="W2" s="19" t="s">
        <v>30</v>
      </c>
      <c r="X2" s="20" t="s">
        <v>31</v>
      </c>
      <c r="Y2" s="20" t="s">
        <v>32</v>
      </c>
      <c r="Z2" s="20" t="s">
        <v>33</v>
      </c>
      <c r="AA2" s="19" t="s">
        <v>46</v>
      </c>
      <c r="AB2" s="19" t="s">
        <v>47</v>
      </c>
      <c r="AC2" s="19" t="s">
        <v>48</v>
      </c>
    </row>
    <row r="3" spans="1:29" x14ac:dyDescent="0.3">
      <c r="A3" s="12" t="s">
        <v>100</v>
      </c>
      <c r="B3" s="12" t="s">
        <v>37</v>
      </c>
      <c r="C3" s="4">
        <f>+Tabla5[[#This Row],[FECHA]]</f>
        <v>44907</v>
      </c>
      <c r="D3" s="37">
        <v>0.3125</v>
      </c>
      <c r="E3" s="37">
        <v>0.33333333333333331</v>
      </c>
      <c r="F3" s="37">
        <v>0.34166666666666662</v>
      </c>
      <c r="G3" s="37">
        <v>0.52083333333333337</v>
      </c>
      <c r="H3" s="37">
        <v>0.52777777777777779</v>
      </c>
      <c r="I3" s="37">
        <v>0.55208333333333337</v>
      </c>
      <c r="J3" s="46">
        <v>0.65972222222222221</v>
      </c>
      <c r="K3" s="47"/>
      <c r="L3" s="53"/>
      <c r="M3" s="53"/>
      <c r="N3" s="57" t="s">
        <v>15</v>
      </c>
      <c r="O3" s="4">
        <f>Tabla5383940414243[[#This Row],[FECHA]]</f>
        <v>44907</v>
      </c>
      <c r="P3" s="7">
        <f>D3</f>
        <v>0.3125</v>
      </c>
      <c r="Q3" s="7">
        <f>E3-D3</f>
        <v>2.0833333333333315E-2</v>
      </c>
      <c r="R3" s="7">
        <f>F3-E3</f>
        <v>8.3333333333333037E-3</v>
      </c>
      <c r="S3" s="7">
        <f>G3-F3</f>
        <v>0.17916666666666675</v>
      </c>
      <c r="T3" s="7">
        <f>+Tabla5383940414243[[#This Row],[ALMUERZO]]-Tabla5383940414243[[#This Row],[TERMINO ACT. AM]]</f>
        <v>6.9444444444444198E-3</v>
      </c>
      <c r="U3" s="7">
        <f>+Tabla5383940414243[[#This Row],[INICIO ACTIVIDADES PM]]-Tabla5383940414243[[#This Row],[ALMUERZO]]</f>
        <v>2.430555555555558E-2</v>
      </c>
      <c r="V3" s="7">
        <f>+Tabla5383940414243[[#This Row],[TERMINO ACTIVIDADES PM]]-Tabla5383940414243[[#This Row],[INICIO ACTIVIDADES PM]]</f>
        <v>0.10763888888888884</v>
      </c>
      <c r="W3" s="3">
        <f>+$D$1</f>
        <v>0.33333333333333331</v>
      </c>
      <c r="X3" s="3">
        <f>+$E$1</f>
        <v>0.35416666666666669</v>
      </c>
      <c r="Y3" s="3">
        <f>+$F$1</f>
        <v>0.375</v>
      </c>
      <c r="Z3" s="3">
        <f>+$G$1</f>
        <v>0.59375</v>
      </c>
      <c r="AA3" s="3">
        <f>+$H$1</f>
        <v>0.61458333333333337</v>
      </c>
      <c r="AB3" s="3">
        <f>+$I$1</f>
        <v>0.63541666666666663</v>
      </c>
      <c r="AC3" s="3">
        <f>+$J$1</f>
        <v>0.66666666666666663</v>
      </c>
    </row>
    <row r="4" spans="1:29" x14ac:dyDescent="0.3">
      <c r="A4" s="12" t="s">
        <v>100</v>
      </c>
      <c r="B4" s="12" t="s">
        <v>26</v>
      </c>
      <c r="C4" s="4">
        <f>+Tabla5[[#This Row],[FECHA]]</f>
        <v>44908</v>
      </c>
      <c r="D4" s="37">
        <v>0.31458333333333333</v>
      </c>
      <c r="E4" s="37">
        <v>0.3298611111111111</v>
      </c>
      <c r="F4" s="37">
        <v>0.34027777777777773</v>
      </c>
      <c r="G4" s="37">
        <v>0.52083333333333337</v>
      </c>
      <c r="H4" s="37">
        <v>0.52777777777777779</v>
      </c>
      <c r="I4" s="37">
        <v>0.54861111111111105</v>
      </c>
      <c r="J4" s="46">
        <v>0.65972222222222221</v>
      </c>
      <c r="K4" s="47"/>
      <c r="M4" s="5"/>
      <c r="N4" s="5" t="s">
        <v>16</v>
      </c>
      <c r="O4" s="4">
        <f>Tabla5383940414243[[#This Row],[FECHA]]</f>
        <v>44908</v>
      </c>
      <c r="P4" s="7">
        <f>D4</f>
        <v>0.31458333333333333</v>
      </c>
      <c r="Q4" s="7">
        <f t="shared" ref="Q4:S7" si="0">E4-D4</f>
        <v>1.5277777777777779E-2</v>
      </c>
      <c r="R4" s="7">
        <f t="shared" si="0"/>
        <v>1.041666666666663E-2</v>
      </c>
      <c r="S4" s="7">
        <f t="shared" si="0"/>
        <v>0.18055555555555564</v>
      </c>
      <c r="T4" s="7">
        <f>+Tabla5383940414243[[#This Row],[ALMUERZO]]-Tabla5383940414243[[#This Row],[TERMINO ACT. AM]]</f>
        <v>6.9444444444444198E-3</v>
      </c>
      <c r="U4" s="7">
        <f>+Tabla5383940414243[[#This Row],[INICIO ACTIVIDADES PM]]-Tabla5383940414243[[#This Row],[ALMUERZO]]</f>
        <v>2.0833333333333259E-2</v>
      </c>
      <c r="V4" s="7">
        <f>+Tabla5383940414243[[#This Row],[TERMINO ACTIVIDADES PM]]-Tabla5383940414243[[#This Row],[INICIO ACTIVIDADES PM]]</f>
        <v>0.11111111111111116</v>
      </c>
      <c r="W4" s="3">
        <f t="shared" ref="W4:W7" si="1">+$D$1</f>
        <v>0.33333333333333331</v>
      </c>
      <c r="X4" s="3">
        <f t="shared" ref="X4:X7" si="2">+$E$1</f>
        <v>0.35416666666666669</v>
      </c>
      <c r="Y4" s="3">
        <f t="shared" ref="Y4:Y7" si="3">+$F$1</f>
        <v>0.375</v>
      </c>
      <c r="Z4" s="3">
        <f t="shared" ref="Z4:Z7" si="4">+$G$1</f>
        <v>0.59375</v>
      </c>
      <c r="AA4" s="3">
        <f t="shared" ref="AA4:AA7" si="5">+$H$1</f>
        <v>0.61458333333333337</v>
      </c>
      <c r="AB4" s="3">
        <f t="shared" ref="AB4:AB7" si="6">+$I$1</f>
        <v>0.63541666666666663</v>
      </c>
      <c r="AC4" s="3">
        <f t="shared" ref="AC4:AC7" si="7">+$J$1</f>
        <v>0.66666666666666663</v>
      </c>
    </row>
    <row r="5" spans="1:29" x14ac:dyDescent="0.3">
      <c r="A5" s="12" t="s">
        <v>100</v>
      </c>
      <c r="B5" s="12" t="s">
        <v>27</v>
      </c>
      <c r="C5" s="4">
        <f>+Tabla5[[#This Row],[FECHA]]</f>
        <v>44909</v>
      </c>
      <c r="D5" s="37">
        <v>0.3125</v>
      </c>
      <c r="E5" s="37">
        <v>0.3298611111111111</v>
      </c>
      <c r="F5" s="37">
        <v>0.34236111111111112</v>
      </c>
      <c r="G5" s="37">
        <v>0.52083333333333337</v>
      </c>
      <c r="H5" s="37">
        <v>0.52777777777777779</v>
      </c>
      <c r="I5" s="37">
        <v>0.55555555555555558</v>
      </c>
      <c r="J5" s="46">
        <v>0.65972222222222221</v>
      </c>
      <c r="K5" s="47"/>
      <c r="M5" s="5"/>
      <c r="N5" s="5" t="s">
        <v>16</v>
      </c>
      <c r="O5" s="4">
        <f>Tabla5383940414243[[#This Row],[FECHA]]</f>
        <v>44909</v>
      </c>
      <c r="P5" s="7">
        <f>D5</f>
        <v>0.3125</v>
      </c>
      <c r="Q5" s="7">
        <f t="shared" si="0"/>
        <v>1.7361111111111105E-2</v>
      </c>
      <c r="R5" s="7">
        <f t="shared" si="0"/>
        <v>1.2500000000000011E-2</v>
      </c>
      <c r="S5" s="7">
        <f t="shared" si="0"/>
        <v>0.17847222222222225</v>
      </c>
      <c r="T5" s="7">
        <f>+Tabla5383940414243[[#This Row],[ALMUERZO]]-Tabla5383940414243[[#This Row],[TERMINO ACT. AM]]</f>
        <v>6.9444444444444198E-3</v>
      </c>
      <c r="U5" s="7">
        <f>+Tabla5383940414243[[#This Row],[INICIO ACTIVIDADES PM]]-Tabla5383940414243[[#This Row],[ALMUERZO]]</f>
        <v>2.777777777777779E-2</v>
      </c>
      <c r="V5" s="7">
        <f>+Tabla5383940414243[[#This Row],[TERMINO ACTIVIDADES PM]]-Tabla5383940414243[[#This Row],[INICIO ACTIVIDADES PM]]</f>
        <v>0.10416666666666663</v>
      </c>
      <c r="W5" s="3">
        <f t="shared" si="1"/>
        <v>0.33333333333333331</v>
      </c>
      <c r="X5" s="3">
        <f t="shared" si="2"/>
        <v>0.35416666666666669</v>
      </c>
      <c r="Y5" s="3">
        <f t="shared" si="3"/>
        <v>0.375</v>
      </c>
      <c r="Z5" s="3">
        <f t="shared" si="4"/>
        <v>0.59375</v>
      </c>
      <c r="AA5" s="3">
        <f t="shared" si="5"/>
        <v>0.61458333333333337</v>
      </c>
      <c r="AB5" s="3">
        <f t="shared" si="6"/>
        <v>0.63541666666666663</v>
      </c>
      <c r="AC5" s="3">
        <f t="shared" si="7"/>
        <v>0.66666666666666663</v>
      </c>
    </row>
    <row r="6" spans="1:29" x14ac:dyDescent="0.3">
      <c r="A6" s="12" t="s">
        <v>100</v>
      </c>
      <c r="B6" s="12" t="s">
        <v>28</v>
      </c>
      <c r="C6" s="4">
        <f>+Tabla5[[#This Row],[FECHA]]</f>
        <v>44910</v>
      </c>
      <c r="D6" s="37">
        <v>0.3125</v>
      </c>
      <c r="E6" s="37">
        <v>0.3298611111111111</v>
      </c>
      <c r="F6" s="37">
        <v>0.34097222222222223</v>
      </c>
      <c r="G6" s="37">
        <v>0.52083333333333337</v>
      </c>
      <c r="H6" s="37">
        <v>0.52430555555555558</v>
      </c>
      <c r="I6" s="37">
        <v>0.54861111111111105</v>
      </c>
      <c r="J6" s="46">
        <v>0.65972222222222221</v>
      </c>
      <c r="K6" s="47"/>
      <c r="M6" s="5"/>
      <c r="N6" s="5" t="s">
        <v>17</v>
      </c>
      <c r="O6" s="4">
        <f>Tabla5383940414243[[#This Row],[FECHA]]</f>
        <v>44910</v>
      </c>
      <c r="P6" s="7">
        <f>D6</f>
        <v>0.3125</v>
      </c>
      <c r="Q6" s="7">
        <f t="shared" si="0"/>
        <v>1.7361111111111105E-2</v>
      </c>
      <c r="R6" s="7">
        <f t="shared" si="0"/>
        <v>1.1111111111111127E-2</v>
      </c>
      <c r="S6" s="7">
        <f t="shared" si="0"/>
        <v>0.17986111111111114</v>
      </c>
      <c r="T6" s="7">
        <f>+Tabla5383940414243[[#This Row],[ALMUERZO]]-Tabla5383940414243[[#This Row],[TERMINO ACT. AM]]</f>
        <v>3.4722222222222099E-3</v>
      </c>
      <c r="U6" s="7">
        <f>+Tabla5383940414243[[#This Row],[INICIO ACTIVIDADES PM]]-Tabla5383940414243[[#This Row],[ALMUERZO]]</f>
        <v>2.4305555555555469E-2</v>
      </c>
      <c r="V6" s="7">
        <f>+Tabla5383940414243[[#This Row],[TERMINO ACTIVIDADES PM]]-Tabla5383940414243[[#This Row],[INICIO ACTIVIDADES PM]]</f>
        <v>0.11111111111111116</v>
      </c>
      <c r="W6" s="3">
        <f t="shared" si="1"/>
        <v>0.33333333333333331</v>
      </c>
      <c r="X6" s="3">
        <f t="shared" si="2"/>
        <v>0.35416666666666669</v>
      </c>
      <c r="Y6" s="3">
        <f t="shared" si="3"/>
        <v>0.375</v>
      </c>
      <c r="Z6" s="3">
        <f t="shared" si="4"/>
        <v>0.59375</v>
      </c>
      <c r="AA6" s="3">
        <f t="shared" si="5"/>
        <v>0.61458333333333337</v>
      </c>
      <c r="AB6" s="3">
        <f t="shared" si="6"/>
        <v>0.63541666666666663</v>
      </c>
      <c r="AC6" s="3">
        <f t="shared" si="7"/>
        <v>0.66666666666666663</v>
      </c>
    </row>
    <row r="7" spans="1:29" x14ac:dyDescent="0.3">
      <c r="A7" s="12" t="s">
        <v>100</v>
      </c>
      <c r="B7" s="12" t="s">
        <v>38</v>
      </c>
      <c r="C7" s="4">
        <f>+Tabla5[[#This Row],[FECHA]]</f>
        <v>44911</v>
      </c>
      <c r="D7" s="37">
        <v>0.31458333333333333</v>
      </c>
      <c r="E7" s="37">
        <v>0.3298611111111111</v>
      </c>
      <c r="F7" s="37">
        <v>0.34027777777777773</v>
      </c>
      <c r="G7" s="37">
        <v>0.52083333333333337</v>
      </c>
      <c r="H7" s="37">
        <v>0.52430555555555558</v>
      </c>
      <c r="I7" s="37">
        <v>0.55208333333333337</v>
      </c>
      <c r="J7" s="46">
        <v>0.65972222222222221</v>
      </c>
      <c r="K7" s="47"/>
      <c r="M7" s="5"/>
      <c r="N7" s="5" t="s">
        <v>18</v>
      </c>
      <c r="O7" s="4">
        <f>Tabla5383940414243[[#This Row],[FECHA]]</f>
        <v>44911</v>
      </c>
      <c r="P7" s="7">
        <f>D7</f>
        <v>0.31458333333333333</v>
      </c>
      <c r="Q7" s="7">
        <f t="shared" si="0"/>
        <v>1.5277777777777779E-2</v>
      </c>
      <c r="R7" s="7">
        <f t="shared" si="0"/>
        <v>1.041666666666663E-2</v>
      </c>
      <c r="S7" s="7">
        <f t="shared" si="0"/>
        <v>0.18055555555555564</v>
      </c>
      <c r="T7" s="7">
        <f>+Tabla5383940414243[[#This Row],[ALMUERZO]]-Tabla5383940414243[[#This Row],[TERMINO ACT. AM]]</f>
        <v>3.4722222222222099E-3</v>
      </c>
      <c r="U7" s="7">
        <f>+Tabla5383940414243[[#This Row],[INICIO ACTIVIDADES PM]]-Tabla5383940414243[[#This Row],[ALMUERZO]]</f>
        <v>2.777777777777779E-2</v>
      </c>
      <c r="V7" s="7">
        <f>+Tabla5383940414243[[#This Row],[TERMINO ACTIVIDADES PM]]-Tabla5383940414243[[#This Row],[INICIO ACTIVIDADES PM]]</f>
        <v>0.10763888888888884</v>
      </c>
      <c r="W7" s="3">
        <f t="shared" si="1"/>
        <v>0.33333333333333331</v>
      </c>
      <c r="X7" s="3">
        <f t="shared" si="2"/>
        <v>0.35416666666666669</v>
      </c>
      <c r="Y7" s="3">
        <f t="shared" si="3"/>
        <v>0.375</v>
      </c>
      <c r="Z7" s="3">
        <f t="shared" si="4"/>
        <v>0.59375</v>
      </c>
      <c r="AA7" s="3">
        <f t="shared" si="5"/>
        <v>0.61458333333333337</v>
      </c>
      <c r="AB7" s="3">
        <f t="shared" si="6"/>
        <v>0.63541666666666663</v>
      </c>
      <c r="AC7" s="3">
        <f t="shared" si="7"/>
        <v>0.66666666666666663</v>
      </c>
    </row>
    <row r="8" spans="1:29" x14ac:dyDescent="0.3">
      <c r="A8" s="11"/>
      <c r="B8" s="11"/>
      <c r="C8" s="4"/>
      <c r="D8" s="39"/>
      <c r="E8" s="56"/>
      <c r="F8" s="56"/>
      <c r="G8" s="56"/>
      <c r="H8" s="56"/>
      <c r="I8" s="56"/>
      <c r="J8" s="56"/>
      <c r="K8" s="38"/>
      <c r="M8" s="5"/>
      <c r="N8" s="5"/>
      <c r="O8" s="4"/>
      <c r="P8" s="7"/>
      <c r="Q8" s="7"/>
      <c r="R8" s="7"/>
      <c r="S8" s="7"/>
      <c r="T8" s="7"/>
      <c r="U8" s="7"/>
      <c r="V8" s="7"/>
      <c r="W8" s="3"/>
      <c r="X8" s="3"/>
      <c r="Y8" s="3"/>
      <c r="Z8" s="3"/>
      <c r="AA8" s="3"/>
      <c r="AB8" s="3"/>
      <c r="AC8" s="3"/>
    </row>
    <row r="9" spans="1:29" x14ac:dyDescent="0.3">
      <c r="A9" s="11"/>
      <c r="B9" s="11"/>
      <c r="C9" s="11"/>
      <c r="D9" s="11"/>
      <c r="E9" s="11"/>
      <c r="F9" s="11"/>
      <c r="G9" s="11"/>
      <c r="H9" s="11"/>
      <c r="I9" s="11"/>
      <c r="J9" s="56"/>
      <c r="K9" s="38"/>
      <c r="M9" s="5">
        <f>Tabla5383940414243[[#This Row],[Columna1]]</f>
        <v>0</v>
      </c>
      <c r="N9" s="5"/>
      <c r="O9" s="4"/>
      <c r="P9" s="7"/>
      <c r="Q9" s="7"/>
      <c r="R9" s="7"/>
      <c r="S9" s="7"/>
      <c r="T9" s="7"/>
      <c r="U9" s="7"/>
      <c r="V9" s="7"/>
      <c r="W9" s="3"/>
      <c r="X9" s="3"/>
      <c r="Y9" s="3"/>
      <c r="Z9" s="3"/>
      <c r="AA9" s="3"/>
      <c r="AB9" s="3"/>
      <c r="AC9" s="3"/>
    </row>
    <row r="10" spans="1:29" x14ac:dyDescent="0.3">
      <c r="A10" s="40"/>
      <c r="B10" s="40"/>
      <c r="C10" s="40"/>
      <c r="D10" s="40"/>
      <c r="E10" s="40"/>
      <c r="F10" s="40"/>
      <c r="G10" s="40"/>
      <c r="H10" s="40"/>
      <c r="I10" s="40"/>
      <c r="J10" s="37"/>
      <c r="K10" s="38"/>
      <c r="M10" s="18"/>
      <c r="N10" s="5"/>
      <c r="O10" s="4"/>
      <c r="P10" s="7"/>
      <c r="Q10" s="77"/>
      <c r="R10" s="77"/>
      <c r="S10" s="77"/>
      <c r="T10" s="77"/>
      <c r="U10" s="77"/>
      <c r="Z10" s="3"/>
      <c r="AA10" s="3"/>
      <c r="AB10" s="3"/>
      <c r="AC10" s="3"/>
    </row>
    <row r="11" spans="1:29" x14ac:dyDescent="0.3">
      <c r="A11" s="40"/>
      <c r="B11" s="40"/>
      <c r="C11" s="40"/>
      <c r="D11" s="40"/>
      <c r="E11" s="40"/>
      <c r="F11" s="40"/>
      <c r="G11" s="40"/>
      <c r="H11" s="40"/>
      <c r="I11" s="40"/>
      <c r="J11" s="37"/>
      <c r="K11" s="38"/>
      <c r="M11" s="5"/>
      <c r="N11" s="5"/>
      <c r="O11" s="4"/>
      <c r="P11" s="7"/>
      <c r="Q11" s="77"/>
      <c r="R11" s="77"/>
      <c r="S11" s="77"/>
      <c r="T11" s="77"/>
      <c r="U11" s="77"/>
      <c r="Z11" s="3"/>
      <c r="AA11" s="3"/>
      <c r="AB11" s="3"/>
      <c r="AC11" s="3"/>
    </row>
    <row r="12" spans="1:29" x14ac:dyDescent="0.3">
      <c r="A12" s="11"/>
      <c r="B12" s="11"/>
      <c r="C12" s="11"/>
      <c r="D12" s="11"/>
      <c r="E12" s="11"/>
      <c r="F12" s="11"/>
      <c r="G12" s="11"/>
      <c r="H12" s="11"/>
      <c r="I12" s="11"/>
      <c r="J12" s="37"/>
      <c r="K12" s="38"/>
      <c r="M12" s="5"/>
      <c r="N12" s="5"/>
      <c r="O12" s="4"/>
      <c r="P12" s="7"/>
      <c r="Q12" s="77"/>
      <c r="R12" s="77"/>
      <c r="S12" s="77"/>
      <c r="T12" s="77"/>
      <c r="U12" s="77"/>
      <c r="Z12" s="3"/>
      <c r="AA12" s="3"/>
      <c r="AB12" s="3"/>
      <c r="AC12" s="3"/>
    </row>
    <row r="13" spans="1:29" ht="16.2" thickBot="1" x14ac:dyDescent="0.35">
      <c r="A13" s="12"/>
      <c r="B13" s="12"/>
      <c r="C13" s="12"/>
      <c r="D13" s="12"/>
      <c r="E13" s="12"/>
      <c r="F13" s="12"/>
      <c r="G13" s="12"/>
      <c r="H13" s="12"/>
      <c r="I13" s="10"/>
      <c r="J13" s="10"/>
      <c r="K13" s="56"/>
      <c r="M13" s="5"/>
      <c r="N13" s="5"/>
      <c r="O13" s="4"/>
      <c r="P13" s="7"/>
      <c r="Q13" s="77"/>
      <c r="R13" s="77"/>
      <c r="S13" s="77"/>
      <c r="T13" s="77"/>
      <c r="U13" s="77"/>
      <c r="Z13" s="3"/>
      <c r="AA13" s="3"/>
      <c r="AB13" s="3"/>
      <c r="AC13" s="3"/>
    </row>
    <row r="14" spans="1:29" ht="16.2" thickBot="1" x14ac:dyDescent="0.35">
      <c r="A14" s="22"/>
      <c r="B14" s="22"/>
      <c r="C14" s="22"/>
      <c r="D14" s="22"/>
      <c r="E14" s="22"/>
      <c r="F14" s="23"/>
      <c r="G14" s="24" t="s">
        <v>24</v>
      </c>
      <c r="H14" s="24"/>
      <c r="I14" s="28"/>
      <c r="J14" s="28"/>
      <c r="K14" s="56"/>
      <c r="M14" s="5"/>
      <c r="N14" s="5"/>
      <c r="O14" s="4"/>
      <c r="P14" s="7"/>
      <c r="Z14" s="3"/>
      <c r="AA14" s="3"/>
      <c r="AB14" s="3"/>
      <c r="AC14" s="3"/>
    </row>
    <row r="15" spans="1:29" ht="16.2" thickBot="1" x14ac:dyDescent="0.35">
      <c r="A15" s="22"/>
      <c r="B15" s="22"/>
      <c r="C15" s="22"/>
      <c r="D15" s="22"/>
      <c r="E15" s="22"/>
      <c r="F15" s="26" t="s">
        <v>29</v>
      </c>
      <c r="G15" s="26" t="s">
        <v>86</v>
      </c>
      <c r="H15" s="26"/>
      <c r="I15" s="28"/>
      <c r="J15" s="28"/>
      <c r="K15" s="56"/>
      <c r="T15" s="3"/>
    </row>
    <row r="16" spans="1:29" ht="16.2" thickBot="1" x14ac:dyDescent="0.35">
      <c r="A16" s="22"/>
      <c r="B16" s="22"/>
      <c r="C16" s="22"/>
      <c r="D16" s="22"/>
      <c r="E16" s="22"/>
      <c r="F16" s="23" t="s">
        <v>25</v>
      </c>
      <c r="G16" s="23">
        <f>+(G3-F3)+(J3-I3)</f>
        <v>0.28680555555555559</v>
      </c>
      <c r="H16" s="23"/>
      <c r="I16" s="28"/>
      <c r="J16" s="28"/>
      <c r="K16" s="58"/>
    </row>
    <row r="17" spans="1:20" ht="16.2" thickBot="1" x14ac:dyDescent="0.35">
      <c r="A17" s="22"/>
      <c r="B17" s="22"/>
      <c r="C17" s="22"/>
      <c r="D17" s="22"/>
      <c r="E17" s="22"/>
      <c r="F17" s="23" t="s">
        <v>26</v>
      </c>
      <c r="G17" s="23">
        <f>+(G4-F4)+(J4-I4)</f>
        <v>0.2916666666666668</v>
      </c>
      <c r="H17" s="23"/>
      <c r="I17" s="28"/>
      <c r="J17" s="28"/>
      <c r="K17" s="58"/>
    </row>
    <row r="18" spans="1:20" ht="16.2" thickBot="1" x14ac:dyDescent="0.35">
      <c r="A18" s="22"/>
      <c r="B18" s="22"/>
      <c r="C18" s="22"/>
      <c r="D18" s="22"/>
      <c r="E18" s="22"/>
      <c r="F18" s="23" t="s">
        <v>27</v>
      </c>
      <c r="G18" s="23">
        <f>+(G5-F5)+(J5-I5)</f>
        <v>0.28263888888888888</v>
      </c>
      <c r="H18" s="23"/>
      <c r="I18" s="28"/>
      <c r="J18" s="28"/>
      <c r="K18" s="58"/>
    </row>
    <row r="19" spans="1:20" ht="16.2" thickBot="1" x14ac:dyDescent="0.35">
      <c r="A19" s="22"/>
      <c r="B19" s="22"/>
      <c r="C19" s="22"/>
      <c r="D19" s="22"/>
      <c r="E19" s="22"/>
      <c r="F19" s="23" t="s">
        <v>28</v>
      </c>
      <c r="G19" s="23">
        <f>+(G6-F6)+(J6-I6)</f>
        <v>0.2909722222222223</v>
      </c>
      <c r="H19" s="23"/>
      <c r="I19" s="28"/>
      <c r="J19" s="28"/>
      <c r="K19" s="58"/>
    </row>
    <row r="20" spans="1:20" ht="16.2" thickBot="1" x14ac:dyDescent="0.35">
      <c r="A20" s="22"/>
      <c r="B20" s="22"/>
      <c r="C20" s="22"/>
      <c r="D20" s="22"/>
      <c r="E20" s="22"/>
      <c r="F20" s="23" t="s">
        <v>50</v>
      </c>
      <c r="G20" s="23">
        <f>+(G7-F7)+(J7-I7)</f>
        <v>0.28819444444444448</v>
      </c>
      <c r="H20" s="23"/>
      <c r="I20" s="28"/>
      <c r="J20" s="28"/>
      <c r="K20" s="58"/>
    </row>
    <row r="21" spans="1:20" ht="20.25" customHeight="1" thickBot="1" x14ac:dyDescent="0.35">
      <c r="A21" s="22"/>
      <c r="B21" s="22"/>
      <c r="C21" s="22"/>
      <c r="D21" s="22"/>
      <c r="E21" s="22"/>
      <c r="F21" s="30" t="s">
        <v>40</v>
      </c>
      <c r="G21" s="30">
        <f>+AVERAGEIF(G16:G20, "&lt;&gt; 0")</f>
        <v>0.28805555555555562</v>
      </c>
      <c r="H21" s="30"/>
      <c r="I21" s="28"/>
      <c r="J21" s="28"/>
      <c r="K21" s="58"/>
    </row>
    <row r="22" spans="1:20" ht="16.2" thickBot="1" x14ac:dyDescent="0.35">
      <c r="A22" s="22"/>
      <c r="B22" s="22"/>
      <c r="C22" s="22"/>
      <c r="D22" s="22"/>
      <c r="E22" s="22"/>
      <c r="F22" s="25" t="s">
        <v>0</v>
      </c>
      <c r="G22" s="25">
        <v>0.29166666666666669</v>
      </c>
      <c r="H22" s="25"/>
      <c r="I22" s="28"/>
      <c r="J22" s="28"/>
    </row>
    <row r="23" spans="1:20" ht="16.2" thickBot="1" x14ac:dyDescent="0.35">
      <c r="A23" s="41"/>
      <c r="B23" s="41"/>
      <c r="C23" s="42"/>
      <c r="D23" s="43"/>
      <c r="E23" s="43"/>
      <c r="F23" s="30" t="s">
        <v>41</v>
      </c>
      <c r="G23" s="44">
        <f>G21/G22</f>
        <v>0.98761904761904773</v>
      </c>
      <c r="H23" s="44"/>
      <c r="I23" s="43"/>
      <c r="J23" s="28"/>
    </row>
    <row r="24" spans="1:20" x14ac:dyDescent="0.3">
      <c r="E24" s="3"/>
      <c r="F24" s="3"/>
      <c r="I24" s="28"/>
      <c r="J24" s="28"/>
    </row>
    <row r="25" spans="1:20" x14ac:dyDescent="0.3">
      <c r="T25" s="3"/>
    </row>
    <row r="26" spans="1:20" x14ac:dyDescent="0.3">
      <c r="T26" s="3"/>
    </row>
    <row r="27" spans="1:20" ht="15.6" customHeight="1" x14ac:dyDescent="0.3">
      <c r="I27" s="181" t="s">
        <v>105</v>
      </c>
      <c r="J27" s="182" t="s">
        <v>103</v>
      </c>
      <c r="T27" s="3"/>
    </row>
    <row r="28" spans="1:20" ht="15.6" customHeight="1" x14ac:dyDescent="0.3">
      <c r="I28" s="181"/>
      <c r="J28" s="183"/>
      <c r="T28" s="3"/>
    </row>
    <row r="29" spans="1:20" ht="15.6" customHeight="1" x14ac:dyDescent="0.3">
      <c r="I29" s="181"/>
      <c r="J29" s="183"/>
      <c r="T29" s="3"/>
    </row>
    <row r="30" spans="1:20" ht="15.6" customHeight="1" x14ac:dyDescent="0.3">
      <c r="I30" s="181"/>
      <c r="J30" s="184"/>
      <c r="T30" s="3"/>
    </row>
    <row r="31" spans="1:20" x14ac:dyDescent="0.3">
      <c r="T31" s="3"/>
    </row>
    <row r="32" spans="1:20" x14ac:dyDescent="0.3">
      <c r="T32" s="3"/>
    </row>
    <row r="33" spans="20:20" x14ac:dyDescent="0.3">
      <c r="T33" s="3"/>
    </row>
    <row r="34" spans="20:20" x14ac:dyDescent="0.3">
      <c r="T34" s="3"/>
    </row>
    <row r="35" spans="20:20" x14ac:dyDescent="0.3">
      <c r="T35" s="3"/>
    </row>
    <row r="36" spans="20:20" x14ac:dyDescent="0.3">
      <c r="T36" s="3"/>
    </row>
    <row r="37" spans="20:20" x14ac:dyDescent="0.3">
      <c r="T37" s="3"/>
    </row>
    <row r="38" spans="20:20" x14ac:dyDescent="0.3">
      <c r="T38" s="3"/>
    </row>
    <row r="39" spans="20:20" x14ac:dyDescent="0.3">
      <c r="T39" s="3"/>
    </row>
    <row r="40" spans="20:20" x14ac:dyDescent="0.3">
      <c r="T40" s="3"/>
    </row>
    <row r="41" spans="20:20" x14ac:dyDescent="0.3">
      <c r="T41" s="3"/>
    </row>
    <row r="42" spans="20:20" x14ac:dyDescent="0.3">
      <c r="T42" s="3"/>
    </row>
    <row r="43" spans="20:20" x14ac:dyDescent="0.3">
      <c r="T43" s="3"/>
    </row>
    <row r="44" spans="20:20" x14ac:dyDescent="0.3">
      <c r="T44" s="3"/>
    </row>
    <row r="45" spans="20:20" x14ac:dyDescent="0.3">
      <c r="T45" s="3"/>
    </row>
    <row r="46" spans="20:20" x14ac:dyDescent="0.3">
      <c r="T46" s="3"/>
    </row>
    <row r="47" spans="20:20" x14ac:dyDescent="0.3">
      <c r="T47" s="3"/>
    </row>
    <row r="48" spans="20:20" x14ac:dyDescent="0.3">
      <c r="T48" s="3"/>
    </row>
    <row r="49" spans="20:20" x14ac:dyDescent="0.3">
      <c r="T49" s="3"/>
    </row>
    <row r="50" spans="20:20" x14ac:dyDescent="0.3">
      <c r="T50" s="3"/>
    </row>
    <row r="51" spans="20:20" x14ac:dyDescent="0.3">
      <c r="T51" s="3"/>
    </row>
    <row r="52" spans="20:20" x14ac:dyDescent="0.3">
      <c r="T52" s="3"/>
    </row>
    <row r="53" spans="20:20" x14ac:dyDescent="0.3">
      <c r="T53" s="3"/>
    </row>
    <row r="54" spans="20:20" x14ac:dyDescent="0.3">
      <c r="T54" s="3"/>
    </row>
    <row r="55" spans="20:20" x14ac:dyDescent="0.3">
      <c r="T55" s="3"/>
    </row>
    <row r="56" spans="20:20" x14ac:dyDescent="0.3">
      <c r="T56" s="3"/>
    </row>
    <row r="57" spans="20:20" x14ac:dyDescent="0.3">
      <c r="T57" s="3"/>
    </row>
  </sheetData>
  <mergeCells count="2">
    <mergeCell ref="I27:I30"/>
    <mergeCell ref="J27:J30"/>
  </mergeCells>
  <pageMargins left="0.7" right="0.7" top="0.75" bottom="0.75" header="0.3" footer="0.3"/>
  <drawing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7"/>
  <sheetViews>
    <sheetView zoomScale="60" zoomScaleNormal="60" workbookViewId="0">
      <selection activeCell="I7" sqref="I7"/>
    </sheetView>
  </sheetViews>
  <sheetFormatPr baseColWidth="10" defaultRowHeight="15.6" x14ac:dyDescent="0.3"/>
  <cols>
    <col min="6" max="6" width="17.69921875" customWidth="1"/>
    <col min="7" max="7" width="16.19921875" customWidth="1"/>
    <col min="11" max="11" width="18.3984375" customWidth="1"/>
  </cols>
  <sheetData>
    <row r="1" spans="1:29" x14ac:dyDescent="0.3">
      <c r="C1" s="31" t="s">
        <v>0</v>
      </c>
      <c r="D1" s="32">
        <v>0.33333333333333331</v>
      </c>
      <c r="E1" s="32">
        <v>0.35416666666666669</v>
      </c>
      <c r="F1" s="32">
        <v>0.375</v>
      </c>
      <c r="G1" s="32">
        <v>0.59375</v>
      </c>
      <c r="H1" s="32">
        <v>0.61458333333333337</v>
      </c>
      <c r="I1" s="32">
        <v>0.63541666666666663</v>
      </c>
      <c r="J1" s="32">
        <v>0.66666666666666663</v>
      </c>
    </row>
    <row r="2" spans="1:29" ht="62.4" x14ac:dyDescent="0.3">
      <c r="A2" s="13" t="s">
        <v>13</v>
      </c>
      <c r="B2" s="27" t="s">
        <v>39</v>
      </c>
      <c r="C2" s="14" t="s">
        <v>9</v>
      </c>
      <c r="D2" s="15" t="s">
        <v>1</v>
      </c>
      <c r="E2" s="15" t="s">
        <v>20</v>
      </c>
      <c r="F2" s="16" t="s">
        <v>42</v>
      </c>
      <c r="G2" s="16" t="s">
        <v>43</v>
      </c>
      <c r="H2" s="16" t="s">
        <v>21</v>
      </c>
      <c r="I2" s="17" t="s">
        <v>44</v>
      </c>
      <c r="J2" s="16" t="s">
        <v>45</v>
      </c>
      <c r="K2" s="35" t="s">
        <v>36</v>
      </c>
      <c r="M2" s="1" t="s">
        <v>11</v>
      </c>
      <c r="N2" s="1" t="s">
        <v>14</v>
      </c>
      <c r="O2" s="1" t="s">
        <v>12</v>
      </c>
      <c r="P2" s="8" t="s">
        <v>10</v>
      </c>
      <c r="Q2" s="6" t="s">
        <v>35</v>
      </c>
      <c r="R2" s="9" t="s">
        <v>34</v>
      </c>
      <c r="S2" s="6" t="s">
        <v>23</v>
      </c>
      <c r="T2" s="16" t="s">
        <v>53</v>
      </c>
      <c r="U2" s="6" t="s">
        <v>19</v>
      </c>
      <c r="V2" s="21" t="s">
        <v>22</v>
      </c>
      <c r="W2" s="19" t="s">
        <v>30</v>
      </c>
      <c r="X2" s="20" t="s">
        <v>31</v>
      </c>
      <c r="Y2" s="20" t="s">
        <v>32</v>
      </c>
      <c r="Z2" s="20" t="s">
        <v>33</v>
      </c>
      <c r="AA2" s="19" t="s">
        <v>46</v>
      </c>
      <c r="AB2" s="19" t="s">
        <v>47</v>
      </c>
      <c r="AC2" s="19" t="s">
        <v>48</v>
      </c>
    </row>
    <row r="3" spans="1:29" x14ac:dyDescent="0.3">
      <c r="A3" s="12" t="s">
        <v>99</v>
      </c>
      <c r="B3" s="12" t="s">
        <v>37</v>
      </c>
      <c r="C3" s="4">
        <f>+Tabla5[[#This Row],[FECHA]]</f>
        <v>44907</v>
      </c>
      <c r="D3" s="37">
        <v>0.30902777777777779</v>
      </c>
      <c r="E3" s="37">
        <v>0.3298611111111111</v>
      </c>
      <c r="F3" s="37">
        <v>0.3576388888888889</v>
      </c>
      <c r="G3" s="37">
        <v>0.53125</v>
      </c>
      <c r="H3" s="37">
        <v>0.54166666666666663</v>
      </c>
      <c r="I3" s="37">
        <v>0.56944444444444442</v>
      </c>
      <c r="J3" s="46">
        <v>0.65277777777777779</v>
      </c>
      <c r="K3" s="47" t="s">
        <v>91</v>
      </c>
      <c r="L3" s="53"/>
      <c r="M3" s="53"/>
      <c r="N3" s="57" t="s">
        <v>15</v>
      </c>
      <c r="O3" s="4">
        <v>44410</v>
      </c>
      <c r="P3" s="7">
        <f>D3</f>
        <v>0.30902777777777779</v>
      </c>
      <c r="Q3" s="7">
        <f>E3-D3</f>
        <v>2.0833333333333315E-2</v>
      </c>
      <c r="R3" s="7">
        <f>F3-E3</f>
        <v>2.777777777777779E-2</v>
      </c>
      <c r="S3" s="7">
        <f>G3-F3</f>
        <v>0.1736111111111111</v>
      </c>
      <c r="T3" s="7">
        <f>+Tabla538394041[[#This Row],[ALMUERZO]]-Tabla538394041[[#This Row],[TERMINO ACT. AM]]</f>
        <v>1.041666666666663E-2</v>
      </c>
      <c r="U3" s="7">
        <f>+Tabla538394041[[#This Row],[INICIO ACTIVIDADES PM]]-Tabla538394041[[#This Row],[ALMUERZO]]</f>
        <v>2.777777777777779E-2</v>
      </c>
      <c r="V3" s="7">
        <f>+Tabla538394041[[#This Row],[TERMINO ACTIVIDADES PM]]-Tabla538394041[[#This Row],[INICIO ACTIVIDADES PM]]</f>
        <v>8.333333333333337E-2</v>
      </c>
      <c r="W3" s="3">
        <f>+$D$1</f>
        <v>0.33333333333333331</v>
      </c>
      <c r="X3" s="3">
        <f>+$E$1</f>
        <v>0.35416666666666669</v>
      </c>
      <c r="Y3" s="3">
        <f>+$F$1</f>
        <v>0.375</v>
      </c>
      <c r="Z3" s="3">
        <f>+$G$1</f>
        <v>0.59375</v>
      </c>
      <c r="AA3" s="3">
        <f>+$H$1</f>
        <v>0.61458333333333337</v>
      </c>
      <c r="AB3" s="3">
        <f>+$I$1</f>
        <v>0.63541666666666663</v>
      </c>
      <c r="AC3" s="3">
        <f>+$J$1</f>
        <v>0.66666666666666663</v>
      </c>
    </row>
    <row r="4" spans="1:29" x14ac:dyDescent="0.3">
      <c r="A4" s="12" t="s">
        <v>99</v>
      </c>
      <c r="B4" s="12" t="s">
        <v>26</v>
      </c>
      <c r="C4" s="4">
        <f>+Tabla5[[#This Row],[FECHA]]</f>
        <v>44908</v>
      </c>
      <c r="D4" s="37">
        <v>0.3125</v>
      </c>
      <c r="E4" s="37">
        <v>0.3263888888888889</v>
      </c>
      <c r="F4" s="37">
        <v>0.3611111111111111</v>
      </c>
      <c r="G4" s="37">
        <v>0.52430555555555558</v>
      </c>
      <c r="H4" s="37">
        <v>0.53125</v>
      </c>
      <c r="I4" s="37">
        <v>0.55555555555555558</v>
      </c>
      <c r="J4" s="46">
        <v>0.65972222222222221</v>
      </c>
      <c r="K4" s="47" t="s">
        <v>91</v>
      </c>
      <c r="M4" s="5"/>
      <c r="N4" s="5" t="s">
        <v>16</v>
      </c>
      <c r="O4" s="4">
        <v>44411</v>
      </c>
      <c r="P4" s="7">
        <f>D4</f>
        <v>0.3125</v>
      </c>
      <c r="Q4" s="7">
        <f t="shared" ref="Q4:Q7" si="0">E4-D4</f>
        <v>1.3888888888888895E-2</v>
      </c>
      <c r="R4" s="7">
        <f t="shared" ref="R4:S7" si="1">F4-E4</f>
        <v>3.472222222222221E-2</v>
      </c>
      <c r="S4" s="7">
        <f t="shared" si="1"/>
        <v>0.16319444444444448</v>
      </c>
      <c r="T4" s="7">
        <f>+Tabla538394041[[#This Row],[ALMUERZO]]-Tabla538394041[[#This Row],[TERMINO ACT. AM]]</f>
        <v>6.9444444444444198E-3</v>
      </c>
      <c r="U4" s="7">
        <f>+Tabla538394041[[#This Row],[INICIO ACTIVIDADES PM]]-Tabla538394041[[#This Row],[ALMUERZO]]</f>
        <v>2.430555555555558E-2</v>
      </c>
      <c r="V4" s="7">
        <f>+Tabla538394041[[#This Row],[TERMINO ACTIVIDADES PM]]-Tabla538394041[[#This Row],[INICIO ACTIVIDADES PM]]</f>
        <v>0.10416666666666663</v>
      </c>
      <c r="W4" s="3">
        <f t="shared" ref="W4:W7" si="2">+$D$1</f>
        <v>0.33333333333333331</v>
      </c>
      <c r="X4" s="3">
        <f t="shared" ref="X4:X7" si="3">+$E$1</f>
        <v>0.35416666666666669</v>
      </c>
      <c r="Y4" s="3">
        <f t="shared" ref="Y4:Y7" si="4">+$F$1</f>
        <v>0.375</v>
      </c>
      <c r="Z4" s="3">
        <f t="shared" ref="Z4:Z7" si="5">+$G$1</f>
        <v>0.59375</v>
      </c>
      <c r="AA4" s="3">
        <f t="shared" ref="AA4:AA7" si="6">+$H$1</f>
        <v>0.61458333333333337</v>
      </c>
      <c r="AB4" s="3">
        <f t="shared" ref="AB4:AB7" si="7">+$I$1</f>
        <v>0.63541666666666663</v>
      </c>
      <c r="AC4" s="3">
        <f t="shared" ref="AC4:AC7" si="8">+$J$1</f>
        <v>0.66666666666666663</v>
      </c>
    </row>
    <row r="5" spans="1:29" x14ac:dyDescent="0.3">
      <c r="A5" s="12" t="s">
        <v>99</v>
      </c>
      <c r="B5" s="12" t="s">
        <v>27</v>
      </c>
      <c r="C5" s="4">
        <f>+Tabla5[[#This Row],[FECHA]]</f>
        <v>44909</v>
      </c>
      <c r="D5" s="37">
        <v>0.3125</v>
      </c>
      <c r="E5" s="37">
        <v>0.34027777777777773</v>
      </c>
      <c r="F5" s="37">
        <v>0.3576388888888889</v>
      </c>
      <c r="G5" s="37">
        <v>0.58333333333333337</v>
      </c>
      <c r="H5" s="37">
        <v>0.59027777777777779</v>
      </c>
      <c r="I5" s="37">
        <v>0.61458333333333337</v>
      </c>
      <c r="J5" s="46">
        <v>0.65625</v>
      </c>
      <c r="K5" s="47" t="s">
        <v>91</v>
      </c>
      <c r="M5" s="5"/>
      <c r="N5" s="5" t="s">
        <v>16</v>
      </c>
      <c r="O5" s="4">
        <v>44412</v>
      </c>
      <c r="P5" s="7">
        <f>D5</f>
        <v>0.3125</v>
      </c>
      <c r="Q5" s="7">
        <f t="shared" si="0"/>
        <v>2.7777777777777735E-2</v>
      </c>
      <c r="R5" s="7">
        <f t="shared" si="1"/>
        <v>1.736111111111116E-2</v>
      </c>
      <c r="S5" s="7">
        <f t="shared" si="1"/>
        <v>0.22569444444444448</v>
      </c>
      <c r="T5" s="7">
        <f>+Tabla538394041[[#This Row],[ALMUERZO]]-Tabla538394041[[#This Row],[TERMINO ACT. AM]]</f>
        <v>6.9444444444444198E-3</v>
      </c>
      <c r="U5" s="7">
        <f>+Tabla538394041[[#This Row],[INICIO ACTIVIDADES PM]]-Tabla538394041[[#This Row],[ALMUERZO]]</f>
        <v>2.430555555555558E-2</v>
      </c>
      <c r="V5" s="7">
        <f>+Tabla538394041[[#This Row],[TERMINO ACTIVIDADES PM]]-Tabla538394041[[#This Row],[INICIO ACTIVIDADES PM]]</f>
        <v>4.166666666666663E-2</v>
      </c>
      <c r="W5" s="3">
        <f t="shared" si="2"/>
        <v>0.33333333333333331</v>
      </c>
      <c r="X5" s="3">
        <f t="shared" si="3"/>
        <v>0.35416666666666669</v>
      </c>
      <c r="Y5" s="3">
        <f t="shared" si="4"/>
        <v>0.375</v>
      </c>
      <c r="Z5" s="3">
        <f t="shared" si="5"/>
        <v>0.59375</v>
      </c>
      <c r="AA5" s="3">
        <f t="shared" si="6"/>
        <v>0.61458333333333337</v>
      </c>
      <c r="AB5" s="3">
        <f t="shared" si="7"/>
        <v>0.63541666666666663</v>
      </c>
      <c r="AC5" s="3">
        <f t="shared" si="8"/>
        <v>0.66666666666666663</v>
      </c>
    </row>
    <row r="6" spans="1:29" x14ac:dyDescent="0.3">
      <c r="A6" s="12" t="s">
        <v>99</v>
      </c>
      <c r="B6" s="12" t="s">
        <v>28</v>
      </c>
      <c r="C6" s="4">
        <f>+Tabla5[[#This Row],[FECHA]]</f>
        <v>44910</v>
      </c>
      <c r="D6" s="37">
        <v>0.3125</v>
      </c>
      <c r="E6" s="37">
        <v>0.3263888888888889</v>
      </c>
      <c r="F6" s="37">
        <v>0.3527777777777778</v>
      </c>
      <c r="G6" s="37">
        <v>0.53819444444444442</v>
      </c>
      <c r="H6" s="37">
        <v>0.54513888888888895</v>
      </c>
      <c r="I6" s="37">
        <v>0.56944444444444442</v>
      </c>
      <c r="J6" s="46">
        <v>0.65625</v>
      </c>
      <c r="K6" s="47" t="s">
        <v>91</v>
      </c>
      <c r="M6" s="5"/>
      <c r="N6" s="5" t="s">
        <v>17</v>
      </c>
      <c r="O6" s="4">
        <v>44413</v>
      </c>
      <c r="P6" s="7">
        <f>D6</f>
        <v>0.3125</v>
      </c>
      <c r="Q6" s="7">
        <f t="shared" si="0"/>
        <v>1.3888888888888895E-2</v>
      </c>
      <c r="R6" s="7">
        <f t="shared" si="1"/>
        <v>2.6388888888888906E-2</v>
      </c>
      <c r="S6" s="7">
        <f t="shared" si="1"/>
        <v>0.18541666666666662</v>
      </c>
      <c r="T6" s="7">
        <f>+Tabla538394041[[#This Row],[ALMUERZO]]-Tabla538394041[[#This Row],[TERMINO ACT. AM]]</f>
        <v>6.9444444444445308E-3</v>
      </c>
      <c r="U6" s="7">
        <f>+Tabla538394041[[#This Row],[INICIO ACTIVIDADES PM]]-Tabla538394041[[#This Row],[ALMUERZO]]</f>
        <v>2.4305555555555469E-2</v>
      </c>
      <c r="V6" s="7">
        <f>+Tabla538394041[[#This Row],[TERMINO ACTIVIDADES PM]]-Tabla538394041[[#This Row],[INICIO ACTIVIDADES PM]]</f>
        <v>8.680555555555558E-2</v>
      </c>
      <c r="W6" s="3">
        <f t="shared" si="2"/>
        <v>0.33333333333333331</v>
      </c>
      <c r="X6" s="3">
        <f t="shared" si="3"/>
        <v>0.35416666666666669</v>
      </c>
      <c r="Y6" s="3">
        <f t="shared" si="4"/>
        <v>0.375</v>
      </c>
      <c r="Z6" s="3">
        <f t="shared" si="5"/>
        <v>0.59375</v>
      </c>
      <c r="AA6" s="3">
        <f t="shared" si="6"/>
        <v>0.61458333333333337</v>
      </c>
      <c r="AB6" s="3">
        <f t="shared" si="7"/>
        <v>0.63541666666666663</v>
      </c>
      <c r="AC6" s="3">
        <f t="shared" si="8"/>
        <v>0.66666666666666663</v>
      </c>
    </row>
    <row r="7" spans="1:29" x14ac:dyDescent="0.3">
      <c r="A7" s="12" t="s">
        <v>99</v>
      </c>
      <c r="B7" s="12" t="s">
        <v>38</v>
      </c>
      <c r="C7" s="4">
        <f>+Tabla5[[#This Row],[FECHA]]</f>
        <v>44911</v>
      </c>
      <c r="D7" s="37">
        <v>0.31597222222222221</v>
      </c>
      <c r="E7" s="37">
        <v>0.33680555555555558</v>
      </c>
      <c r="F7" s="37">
        <v>0.36805555555555558</v>
      </c>
      <c r="G7" s="37">
        <v>0.51736111111111105</v>
      </c>
      <c r="H7" s="37">
        <v>0.53125</v>
      </c>
      <c r="I7" s="37">
        <v>0.55208333333333337</v>
      </c>
      <c r="J7" s="46">
        <v>0.65277777777777779</v>
      </c>
      <c r="K7" s="47" t="s">
        <v>91</v>
      </c>
      <c r="M7" s="5"/>
      <c r="N7" s="5" t="s">
        <v>18</v>
      </c>
      <c r="O7" s="4">
        <v>44414</v>
      </c>
      <c r="P7" s="7">
        <f>D7</f>
        <v>0.31597222222222221</v>
      </c>
      <c r="Q7" s="7">
        <f t="shared" si="0"/>
        <v>2.083333333333337E-2</v>
      </c>
      <c r="R7" s="7">
        <f t="shared" si="1"/>
        <v>3.125E-2</v>
      </c>
      <c r="S7" s="7">
        <f t="shared" si="1"/>
        <v>0.14930555555555547</v>
      </c>
      <c r="T7" s="7">
        <f>+Tabla538394041[[#This Row],[ALMUERZO]]-Tabla538394041[[#This Row],[TERMINO ACT. AM]]</f>
        <v>1.3888888888888951E-2</v>
      </c>
      <c r="U7" s="7">
        <f>+Tabla538394041[[#This Row],[INICIO ACTIVIDADES PM]]-Tabla538394041[[#This Row],[ALMUERZO]]</f>
        <v>2.083333333333337E-2</v>
      </c>
      <c r="V7" s="7">
        <f>+Tabla538394041[[#This Row],[TERMINO ACTIVIDADES PM]]-Tabla538394041[[#This Row],[INICIO ACTIVIDADES PM]]</f>
        <v>0.10069444444444442</v>
      </c>
      <c r="W7" s="3">
        <f t="shared" si="2"/>
        <v>0.33333333333333331</v>
      </c>
      <c r="X7" s="3">
        <f t="shared" si="3"/>
        <v>0.35416666666666669</v>
      </c>
      <c r="Y7" s="3">
        <f t="shared" si="4"/>
        <v>0.375</v>
      </c>
      <c r="Z7" s="3">
        <f t="shared" si="5"/>
        <v>0.59375</v>
      </c>
      <c r="AA7" s="3">
        <f t="shared" si="6"/>
        <v>0.61458333333333337</v>
      </c>
      <c r="AB7" s="3">
        <f t="shared" si="7"/>
        <v>0.63541666666666663</v>
      </c>
      <c r="AC7" s="3">
        <f t="shared" si="8"/>
        <v>0.66666666666666663</v>
      </c>
    </row>
    <row r="8" spans="1:29" x14ac:dyDescent="0.3">
      <c r="A8" s="11"/>
      <c r="B8" s="11"/>
      <c r="C8" s="4"/>
      <c r="D8" s="39"/>
      <c r="E8" s="56"/>
      <c r="F8" s="56"/>
      <c r="G8" s="56"/>
      <c r="H8" s="56"/>
      <c r="I8" s="56"/>
      <c r="J8" s="56"/>
      <c r="K8" s="38"/>
      <c r="M8" s="5"/>
      <c r="N8" s="5"/>
      <c r="O8" s="4"/>
      <c r="P8" s="7"/>
      <c r="Q8" s="7"/>
      <c r="R8" s="7"/>
      <c r="S8" s="7"/>
      <c r="T8" s="7"/>
      <c r="U8" s="7"/>
      <c r="V8" s="7"/>
      <c r="W8" s="3"/>
      <c r="X8" s="3"/>
      <c r="Y8" s="3"/>
      <c r="Z8" s="3"/>
      <c r="AA8" s="3"/>
      <c r="AB8" s="3"/>
      <c r="AC8" s="3"/>
    </row>
    <row r="9" spans="1:29" x14ac:dyDescent="0.3">
      <c r="A9" s="11"/>
      <c r="B9" s="11"/>
      <c r="C9" s="11"/>
      <c r="D9" s="37"/>
      <c r="E9" s="37"/>
      <c r="F9" s="37"/>
      <c r="G9" s="37"/>
      <c r="H9" s="37"/>
      <c r="I9" s="37"/>
      <c r="J9" s="46"/>
      <c r="K9" s="38"/>
      <c r="M9" s="5">
        <f>Tabla538394041[[#This Row],[Columna1]]</f>
        <v>0</v>
      </c>
      <c r="N9" s="5"/>
      <c r="O9" s="4"/>
      <c r="T9" s="3"/>
      <c r="X9" s="3"/>
      <c r="Y9" s="3"/>
      <c r="Z9" s="3"/>
      <c r="AA9" s="3"/>
      <c r="AB9" s="3"/>
      <c r="AC9" s="3"/>
    </row>
    <row r="10" spans="1:29" x14ac:dyDescent="0.3">
      <c r="A10" s="40"/>
      <c r="B10" s="40"/>
      <c r="C10" s="40"/>
      <c r="D10" s="37"/>
      <c r="E10" s="37"/>
      <c r="F10" s="37"/>
      <c r="G10" s="37"/>
      <c r="H10" s="37"/>
      <c r="I10" s="37"/>
      <c r="J10" s="46"/>
      <c r="K10" s="38"/>
      <c r="M10" s="18"/>
      <c r="N10" s="5"/>
      <c r="O10" s="4"/>
      <c r="P10" s="7"/>
      <c r="Q10" s="7"/>
      <c r="R10" s="7"/>
      <c r="S10" s="7"/>
      <c r="T10" s="7"/>
      <c r="U10" s="29"/>
      <c r="V10" s="7"/>
      <c r="W10" s="3"/>
      <c r="X10" s="3"/>
      <c r="Y10" s="3"/>
      <c r="Z10" s="3"/>
      <c r="AA10" s="3"/>
      <c r="AB10" s="3"/>
      <c r="AC10" s="3"/>
    </row>
    <row r="11" spans="1:29" x14ac:dyDescent="0.3">
      <c r="A11" s="40"/>
      <c r="B11" s="40"/>
      <c r="C11" s="40"/>
      <c r="D11" s="37"/>
      <c r="E11" s="37"/>
      <c r="F11" s="37"/>
      <c r="G11" s="37"/>
      <c r="H11" s="37"/>
      <c r="I11" s="37"/>
      <c r="J11" s="46"/>
      <c r="K11" s="38"/>
      <c r="M11" s="5"/>
      <c r="N11" s="5"/>
      <c r="O11" s="4"/>
      <c r="T11" s="3"/>
      <c r="X11" s="3"/>
      <c r="Y11" s="3"/>
      <c r="Z11" s="3"/>
      <c r="AA11" s="3"/>
      <c r="AB11" s="3"/>
      <c r="AC11" s="3"/>
    </row>
    <row r="12" spans="1:29" x14ac:dyDescent="0.3">
      <c r="A12" s="11"/>
      <c r="B12" s="11"/>
      <c r="C12" s="11"/>
      <c r="D12" s="37"/>
      <c r="E12" s="37"/>
      <c r="F12" s="37"/>
      <c r="G12" s="37"/>
      <c r="H12" s="37"/>
      <c r="I12" s="37"/>
      <c r="J12" s="46"/>
      <c r="K12" s="38"/>
      <c r="M12" s="5"/>
      <c r="N12" s="5"/>
      <c r="O12" s="4"/>
      <c r="P12" s="7"/>
      <c r="Q12" s="7"/>
      <c r="R12" s="7"/>
      <c r="S12" s="7"/>
      <c r="T12" s="7"/>
      <c r="U12" s="29"/>
      <c r="V12" s="7"/>
      <c r="W12" s="3"/>
      <c r="Z12" s="3"/>
      <c r="AA12" s="3"/>
      <c r="AB12" s="3"/>
      <c r="AC12" s="3"/>
    </row>
    <row r="13" spans="1:29" ht="16.2" thickBot="1" x14ac:dyDescent="0.35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56"/>
      <c r="M13" s="5"/>
      <c r="N13" s="5"/>
      <c r="O13" s="4"/>
      <c r="T13" s="3"/>
      <c r="X13" s="3"/>
      <c r="Y13" s="3"/>
      <c r="Z13" s="3"/>
      <c r="AA13" s="3"/>
      <c r="AB13" s="3"/>
      <c r="AC13" s="3"/>
    </row>
    <row r="14" spans="1:29" ht="16.2" thickBot="1" x14ac:dyDescent="0.35">
      <c r="A14" s="22"/>
      <c r="B14" s="22"/>
      <c r="C14" s="22"/>
      <c r="D14" s="22"/>
      <c r="E14" s="22"/>
      <c r="F14" s="23"/>
      <c r="G14" s="24" t="s">
        <v>24</v>
      </c>
      <c r="H14" s="24"/>
      <c r="I14" s="28"/>
      <c r="J14" s="28"/>
      <c r="K14" s="56"/>
      <c r="M14" s="5"/>
      <c r="N14" s="5"/>
      <c r="O14" s="4"/>
      <c r="P14" s="7"/>
      <c r="Q14" s="7"/>
      <c r="R14" s="7"/>
      <c r="S14" s="7"/>
      <c r="T14" s="7"/>
      <c r="U14" s="29"/>
      <c r="V14" s="7"/>
      <c r="W14" s="3"/>
      <c r="X14" s="3"/>
      <c r="Y14" s="3"/>
      <c r="Z14" s="3"/>
      <c r="AA14" s="3"/>
      <c r="AB14" s="3"/>
      <c r="AC14" s="3"/>
    </row>
    <row r="15" spans="1:29" ht="16.2" thickBot="1" x14ac:dyDescent="0.35">
      <c r="A15" s="22"/>
      <c r="B15" s="22"/>
      <c r="C15" s="22"/>
      <c r="D15" s="22"/>
      <c r="E15" s="22"/>
      <c r="F15" s="26" t="s">
        <v>29</v>
      </c>
      <c r="G15" s="26" t="s">
        <v>84</v>
      </c>
      <c r="H15" s="26"/>
      <c r="I15" s="28"/>
      <c r="J15" s="28"/>
      <c r="K15" s="56"/>
      <c r="T15" s="3"/>
    </row>
    <row r="16" spans="1:29" ht="16.2" thickBot="1" x14ac:dyDescent="0.35">
      <c r="A16" s="22"/>
      <c r="B16" s="22"/>
      <c r="C16" s="22"/>
      <c r="D16" s="22"/>
      <c r="E16" s="22"/>
      <c r="F16" s="23" t="s">
        <v>25</v>
      </c>
      <c r="G16" s="23">
        <f>+(G3-F3)+(J3-I3)</f>
        <v>0.25694444444444448</v>
      </c>
      <c r="H16" s="23"/>
      <c r="I16" s="28"/>
      <c r="J16" s="28"/>
      <c r="K16" s="58"/>
    </row>
    <row r="17" spans="1:20" ht="16.2" thickBot="1" x14ac:dyDescent="0.35">
      <c r="A17" s="22"/>
      <c r="B17" s="22"/>
      <c r="C17" s="22"/>
      <c r="D17" s="22"/>
      <c r="E17" s="22"/>
      <c r="F17" s="23" t="s">
        <v>26</v>
      </c>
      <c r="G17" s="23">
        <f>+(G4-F4)+(J4-I4)</f>
        <v>0.2673611111111111</v>
      </c>
      <c r="H17" s="23"/>
      <c r="I17" s="28"/>
      <c r="J17" s="28"/>
      <c r="K17" s="58"/>
    </row>
    <row r="18" spans="1:20" ht="16.2" thickBot="1" x14ac:dyDescent="0.35">
      <c r="A18" s="22"/>
      <c r="B18" s="22"/>
      <c r="C18" s="22"/>
      <c r="D18" s="22"/>
      <c r="E18" s="22"/>
      <c r="F18" s="23" t="s">
        <v>27</v>
      </c>
      <c r="G18" s="23">
        <f>+(G5-F5)+(J5-I5)</f>
        <v>0.2673611111111111</v>
      </c>
      <c r="H18" s="23"/>
      <c r="I18" s="28"/>
      <c r="J18" s="28"/>
      <c r="K18" s="58"/>
    </row>
    <row r="19" spans="1:20" ht="16.2" thickBot="1" x14ac:dyDescent="0.35">
      <c r="A19" s="22"/>
      <c r="B19" s="22"/>
      <c r="C19" s="22"/>
      <c r="D19" s="22"/>
      <c r="E19" s="22"/>
      <c r="F19" s="23" t="s">
        <v>28</v>
      </c>
      <c r="G19" s="23">
        <f>+(G6-F6)+(J6-I6)</f>
        <v>0.2722222222222222</v>
      </c>
      <c r="H19" s="23"/>
      <c r="I19" s="28"/>
      <c r="J19" s="28"/>
      <c r="K19" s="58"/>
    </row>
    <row r="20" spans="1:20" ht="16.2" thickBot="1" x14ac:dyDescent="0.35">
      <c r="A20" s="22"/>
      <c r="B20" s="22"/>
      <c r="C20" s="22"/>
      <c r="D20" s="22"/>
      <c r="E20" s="22"/>
      <c r="F20" s="23" t="s">
        <v>50</v>
      </c>
      <c r="G20" s="23">
        <f>+(G7-F7)+(J7-I7)</f>
        <v>0.24999999999999989</v>
      </c>
      <c r="H20" s="23"/>
      <c r="I20" s="28"/>
      <c r="J20" s="28"/>
      <c r="K20" s="58"/>
    </row>
    <row r="21" spans="1:20" ht="20.25" customHeight="1" thickBot="1" x14ac:dyDescent="0.35">
      <c r="A21" s="22"/>
      <c r="B21" s="22"/>
      <c r="C21" s="22"/>
      <c r="D21" s="22"/>
      <c r="E21" s="22"/>
      <c r="F21" s="30" t="s">
        <v>40</v>
      </c>
      <c r="G21" s="30">
        <f>+AVERAGEIF(G16:G20, "&lt;&gt; 0")</f>
        <v>0.26277777777777772</v>
      </c>
      <c r="H21" s="30"/>
      <c r="I21" s="28"/>
      <c r="J21" s="28"/>
      <c r="K21" s="58"/>
    </row>
    <row r="22" spans="1:20" ht="16.2" thickBot="1" x14ac:dyDescent="0.35">
      <c r="A22" s="22"/>
      <c r="B22" s="22"/>
      <c r="C22" s="22"/>
      <c r="D22" s="22"/>
      <c r="E22" s="22"/>
      <c r="F22" s="25" t="s">
        <v>0</v>
      </c>
      <c r="G22" s="25">
        <v>0.25</v>
      </c>
      <c r="H22" s="25"/>
      <c r="I22" s="28"/>
      <c r="J22" s="28"/>
    </row>
    <row r="23" spans="1:20" ht="16.2" thickBot="1" x14ac:dyDescent="0.35">
      <c r="A23" s="41"/>
      <c r="B23" s="41"/>
      <c r="C23" s="42"/>
      <c r="D23" s="43"/>
      <c r="E23" s="43"/>
      <c r="F23" s="30" t="s">
        <v>41</v>
      </c>
      <c r="G23" s="44">
        <f>G21/G22</f>
        <v>1.0511111111111109</v>
      </c>
      <c r="H23" s="44"/>
      <c r="I23" s="43"/>
      <c r="J23" s="28"/>
    </row>
    <row r="24" spans="1:20" x14ac:dyDescent="0.3">
      <c r="E24" s="3"/>
      <c r="F24" s="3"/>
      <c r="I24" s="28"/>
      <c r="J24" s="28"/>
    </row>
    <row r="25" spans="1:20" x14ac:dyDescent="0.3">
      <c r="T25" s="3"/>
    </row>
    <row r="26" spans="1:20" x14ac:dyDescent="0.3">
      <c r="T26" s="3"/>
    </row>
    <row r="27" spans="1:20" x14ac:dyDescent="0.3">
      <c r="T27" s="3"/>
    </row>
    <row r="28" spans="1:20" ht="15.6" customHeight="1" x14ac:dyDescent="0.3">
      <c r="I28" s="181" t="s">
        <v>105</v>
      </c>
      <c r="J28" s="182" t="s">
        <v>103</v>
      </c>
      <c r="T28" s="3"/>
    </row>
    <row r="29" spans="1:20" ht="15.6" customHeight="1" x14ac:dyDescent="0.3">
      <c r="I29" s="181"/>
      <c r="J29" s="183"/>
      <c r="T29" s="3"/>
    </row>
    <row r="30" spans="1:20" ht="15.6" customHeight="1" x14ac:dyDescent="0.3">
      <c r="I30" s="181"/>
      <c r="J30" s="183"/>
      <c r="T30" s="3"/>
    </row>
    <row r="31" spans="1:20" ht="15.6" customHeight="1" x14ac:dyDescent="0.3">
      <c r="I31" s="181"/>
      <c r="J31" s="184"/>
      <c r="T31" s="3"/>
    </row>
    <row r="32" spans="1:20" x14ac:dyDescent="0.3">
      <c r="T32" s="3"/>
    </row>
    <row r="33" spans="20:20" x14ac:dyDescent="0.3">
      <c r="T33" s="3"/>
    </row>
    <row r="34" spans="20:20" x14ac:dyDescent="0.3">
      <c r="T34" s="3"/>
    </row>
    <row r="35" spans="20:20" x14ac:dyDescent="0.3">
      <c r="T35" s="3"/>
    </row>
    <row r="36" spans="20:20" x14ac:dyDescent="0.3">
      <c r="T36" s="3"/>
    </row>
    <row r="37" spans="20:20" x14ac:dyDescent="0.3">
      <c r="T37" s="3"/>
    </row>
    <row r="38" spans="20:20" x14ac:dyDescent="0.3">
      <c r="T38" s="3"/>
    </row>
    <row r="39" spans="20:20" x14ac:dyDescent="0.3">
      <c r="T39" s="3"/>
    </row>
    <row r="40" spans="20:20" x14ac:dyDescent="0.3">
      <c r="T40" s="3"/>
    </row>
    <row r="41" spans="20:20" x14ac:dyDescent="0.3">
      <c r="T41" s="3"/>
    </row>
    <row r="42" spans="20:20" x14ac:dyDescent="0.3">
      <c r="T42" s="3"/>
    </row>
    <row r="43" spans="20:20" x14ac:dyDescent="0.3">
      <c r="T43" s="3"/>
    </row>
    <row r="44" spans="20:20" x14ac:dyDescent="0.3">
      <c r="T44" s="3"/>
    </row>
    <row r="45" spans="20:20" x14ac:dyDescent="0.3">
      <c r="T45" s="3"/>
    </row>
    <row r="46" spans="20:20" x14ac:dyDescent="0.3">
      <c r="T46" s="3"/>
    </row>
    <row r="47" spans="20:20" x14ac:dyDescent="0.3">
      <c r="T47" s="3"/>
    </row>
    <row r="48" spans="20:20" x14ac:dyDescent="0.3">
      <c r="T48" s="3"/>
    </row>
    <row r="49" spans="20:20" x14ac:dyDescent="0.3">
      <c r="T49" s="3"/>
    </row>
    <row r="50" spans="20:20" x14ac:dyDescent="0.3">
      <c r="T50" s="3"/>
    </row>
    <row r="51" spans="20:20" x14ac:dyDescent="0.3">
      <c r="T51" s="3"/>
    </row>
    <row r="52" spans="20:20" x14ac:dyDescent="0.3">
      <c r="T52" s="3"/>
    </row>
    <row r="53" spans="20:20" x14ac:dyDescent="0.3">
      <c r="T53" s="3"/>
    </row>
    <row r="54" spans="20:20" x14ac:dyDescent="0.3">
      <c r="T54" s="3"/>
    </row>
    <row r="55" spans="20:20" x14ac:dyDescent="0.3">
      <c r="T55" s="3"/>
    </row>
    <row r="56" spans="20:20" x14ac:dyDescent="0.3">
      <c r="T56" s="3"/>
    </row>
    <row r="57" spans="20:20" x14ac:dyDescent="0.3">
      <c r="T57" s="3"/>
    </row>
  </sheetData>
  <mergeCells count="2">
    <mergeCell ref="I28:I31"/>
    <mergeCell ref="J28:J31"/>
  </mergeCells>
  <pageMargins left="0.7" right="0.7" top="0.75" bottom="0.75" header="0.3" footer="0.3"/>
  <drawing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7"/>
  <sheetViews>
    <sheetView zoomScale="60" zoomScaleNormal="60" workbookViewId="0">
      <selection activeCell="F6" sqref="F6"/>
    </sheetView>
  </sheetViews>
  <sheetFormatPr baseColWidth="10" defaultRowHeight="15.6" x14ac:dyDescent="0.3"/>
  <cols>
    <col min="6" max="6" width="16.3984375" customWidth="1"/>
    <col min="7" max="7" width="13" customWidth="1"/>
    <col min="20" max="20" width="12.59765625" customWidth="1"/>
  </cols>
  <sheetData>
    <row r="1" spans="1:29" x14ac:dyDescent="0.3">
      <c r="C1" s="31" t="s">
        <v>0</v>
      </c>
      <c r="D1" s="32">
        <v>0.33333333333333331</v>
      </c>
      <c r="E1" s="32">
        <v>0.35416666666666669</v>
      </c>
      <c r="F1" s="32">
        <v>0.375</v>
      </c>
      <c r="G1" s="32">
        <v>0.59375</v>
      </c>
      <c r="H1" s="32">
        <v>0.61458333333333337</v>
      </c>
      <c r="I1" s="32">
        <v>0.63541666666666663</v>
      </c>
      <c r="J1" s="32">
        <v>0.66666666666666663</v>
      </c>
    </row>
    <row r="2" spans="1:29" ht="62.4" x14ac:dyDescent="0.3">
      <c r="A2" s="13" t="s">
        <v>13</v>
      </c>
      <c r="B2" s="27" t="s">
        <v>39</v>
      </c>
      <c r="C2" s="14" t="s">
        <v>9</v>
      </c>
      <c r="D2" s="15" t="s">
        <v>1</v>
      </c>
      <c r="E2" s="15" t="s">
        <v>20</v>
      </c>
      <c r="F2" s="16" t="s">
        <v>42</v>
      </c>
      <c r="G2" s="16" t="s">
        <v>43</v>
      </c>
      <c r="H2" s="16" t="s">
        <v>21</v>
      </c>
      <c r="I2" s="17" t="s">
        <v>44</v>
      </c>
      <c r="J2" s="16" t="s">
        <v>45</v>
      </c>
      <c r="K2" s="35" t="s">
        <v>36</v>
      </c>
      <c r="M2" s="1" t="s">
        <v>11</v>
      </c>
      <c r="N2" s="1" t="s">
        <v>14</v>
      </c>
      <c r="O2" s="1" t="s">
        <v>12</v>
      </c>
      <c r="P2" s="8" t="s">
        <v>10</v>
      </c>
      <c r="Q2" s="6" t="s">
        <v>35</v>
      </c>
      <c r="R2" s="9" t="s">
        <v>34</v>
      </c>
      <c r="S2" s="6" t="s">
        <v>23</v>
      </c>
      <c r="T2" s="16" t="s">
        <v>53</v>
      </c>
      <c r="U2" s="6" t="s">
        <v>19</v>
      </c>
      <c r="V2" s="21" t="s">
        <v>22</v>
      </c>
      <c r="W2" s="19" t="s">
        <v>30</v>
      </c>
      <c r="X2" s="20" t="s">
        <v>31</v>
      </c>
      <c r="Y2" s="20" t="s">
        <v>32</v>
      </c>
      <c r="Z2" s="20" t="s">
        <v>33</v>
      </c>
      <c r="AA2" s="19" t="s">
        <v>46</v>
      </c>
      <c r="AB2" s="19" t="s">
        <v>47</v>
      </c>
      <c r="AC2" s="19" t="s">
        <v>48</v>
      </c>
    </row>
    <row r="3" spans="1:29" x14ac:dyDescent="0.3">
      <c r="A3" s="12" t="s">
        <v>99</v>
      </c>
      <c r="B3" s="12" t="s">
        <v>37</v>
      </c>
      <c r="C3" s="4">
        <f>+Tabla5[[#This Row],[FECHA]]</f>
        <v>44907</v>
      </c>
      <c r="D3" s="37">
        <v>0.64583333333333337</v>
      </c>
      <c r="E3" s="37">
        <v>0.67361111111111116</v>
      </c>
      <c r="F3" s="37">
        <v>0.70486111111111116</v>
      </c>
      <c r="G3" s="56">
        <v>0.83333333333333337</v>
      </c>
      <c r="H3" s="37">
        <v>0.83680555555555547</v>
      </c>
      <c r="I3" s="37">
        <v>0.86458333333333337</v>
      </c>
      <c r="J3" s="46">
        <v>0.98611111111111116</v>
      </c>
      <c r="K3" s="47"/>
      <c r="L3" s="53"/>
      <c r="M3" s="53"/>
      <c r="N3" s="57" t="s">
        <v>15</v>
      </c>
      <c r="O3" s="4">
        <f>Tabla53839404142[[#This Row],[FECHA]]</f>
        <v>44907</v>
      </c>
      <c r="P3" s="7">
        <f>D3</f>
        <v>0.64583333333333337</v>
      </c>
      <c r="Q3" s="7">
        <f>E3-D3</f>
        <v>2.777777777777779E-2</v>
      </c>
      <c r="R3" s="7">
        <f>F3-E3</f>
        <v>3.125E-2</v>
      </c>
      <c r="S3" s="7">
        <f>G3-F3</f>
        <v>0.12847222222222221</v>
      </c>
      <c r="T3" s="7">
        <f>+Tabla53839404142[[#This Row],[ALMUERZO]]-Tabla53839404142[[#This Row],[TERMINO ACT. AM]]</f>
        <v>3.4722222222220989E-3</v>
      </c>
      <c r="U3" s="7">
        <f>+Tabla53839404142[[#This Row],[INICIO ACTIVIDADES PM]]-Tabla53839404142[[#This Row],[ALMUERZO]]</f>
        <v>2.7777777777777901E-2</v>
      </c>
      <c r="V3" s="7">
        <f>+Tabla53839404142[[#This Row],[TERMINO ACTIVIDADES PM]]-Tabla53839404142[[#This Row],[INICIO ACTIVIDADES PM]]</f>
        <v>0.12152777777777779</v>
      </c>
      <c r="W3" s="3">
        <f>+$D$1</f>
        <v>0.33333333333333331</v>
      </c>
      <c r="X3" s="3">
        <f>+$E$1</f>
        <v>0.35416666666666669</v>
      </c>
      <c r="Y3" s="3">
        <f>+$F$1</f>
        <v>0.375</v>
      </c>
      <c r="Z3" s="3">
        <f>+$G$1</f>
        <v>0.59375</v>
      </c>
      <c r="AA3" s="3">
        <f>+$H$1</f>
        <v>0.61458333333333337</v>
      </c>
      <c r="AB3" s="3">
        <f>+$I$1</f>
        <v>0.63541666666666663</v>
      </c>
      <c r="AC3" s="3">
        <f>+$J$1</f>
        <v>0.66666666666666663</v>
      </c>
    </row>
    <row r="4" spans="1:29" x14ac:dyDescent="0.3">
      <c r="A4" s="12" t="s">
        <v>99</v>
      </c>
      <c r="B4" s="12" t="s">
        <v>26</v>
      </c>
      <c r="C4" s="4">
        <f>+Tabla5[[#This Row],[FECHA]]</f>
        <v>44908</v>
      </c>
      <c r="D4" s="37">
        <v>0.64583333333333337</v>
      </c>
      <c r="E4" s="37">
        <v>0.67013888888888884</v>
      </c>
      <c r="F4" s="37">
        <v>0.68680555555555556</v>
      </c>
      <c r="G4" s="56">
        <v>0.8125</v>
      </c>
      <c r="H4" s="37">
        <v>0.82291666666666663</v>
      </c>
      <c r="I4" s="37">
        <v>0.84722222222222221</v>
      </c>
      <c r="J4" s="46">
        <v>0.98611111111111116</v>
      </c>
      <c r="K4" s="47"/>
      <c r="M4" s="5"/>
      <c r="N4" s="5" t="s">
        <v>16</v>
      </c>
      <c r="O4" s="4">
        <f>Tabla53839404142[[#This Row],[FECHA]]</f>
        <v>44908</v>
      </c>
      <c r="P4" s="7">
        <f>D4</f>
        <v>0.64583333333333337</v>
      </c>
      <c r="Q4" s="7">
        <f t="shared" ref="Q4:S7" si="0">E4-D4</f>
        <v>2.4305555555555469E-2</v>
      </c>
      <c r="R4" s="7">
        <f t="shared" si="0"/>
        <v>1.6666666666666718E-2</v>
      </c>
      <c r="S4" s="7">
        <f t="shared" si="0"/>
        <v>0.12569444444444444</v>
      </c>
      <c r="T4" s="7">
        <f>+Tabla53839404142[[#This Row],[ALMUERZO]]-Tabla53839404142[[#This Row],[TERMINO ACT. AM]]</f>
        <v>1.041666666666663E-2</v>
      </c>
      <c r="U4" s="7">
        <f>+Tabla53839404142[[#This Row],[INICIO ACTIVIDADES PM]]-Tabla53839404142[[#This Row],[ALMUERZO]]</f>
        <v>2.430555555555558E-2</v>
      </c>
      <c r="V4" s="7">
        <f>+Tabla53839404142[[#This Row],[TERMINO ACTIVIDADES PM]]-Tabla53839404142[[#This Row],[INICIO ACTIVIDADES PM]]</f>
        <v>0.13888888888888895</v>
      </c>
      <c r="W4" s="3">
        <f t="shared" ref="W4:W7" si="1">+$D$1</f>
        <v>0.33333333333333331</v>
      </c>
      <c r="X4" s="3">
        <f t="shared" ref="X4:X7" si="2">+$E$1</f>
        <v>0.35416666666666669</v>
      </c>
      <c r="Y4" s="3">
        <f t="shared" ref="Y4:Y7" si="3">+$F$1</f>
        <v>0.375</v>
      </c>
      <c r="Z4" s="3">
        <f t="shared" ref="Z4:Z7" si="4">+$G$1</f>
        <v>0.59375</v>
      </c>
      <c r="AA4" s="3">
        <f t="shared" ref="AA4:AA7" si="5">+$H$1</f>
        <v>0.61458333333333337</v>
      </c>
      <c r="AB4" s="3">
        <f t="shared" ref="AB4:AB7" si="6">+$I$1</f>
        <v>0.63541666666666663</v>
      </c>
      <c r="AC4" s="3">
        <f t="shared" ref="AC4:AC7" si="7">+$J$1</f>
        <v>0.66666666666666663</v>
      </c>
    </row>
    <row r="5" spans="1:29" x14ac:dyDescent="0.3">
      <c r="A5" s="12" t="s">
        <v>99</v>
      </c>
      <c r="B5" s="12" t="s">
        <v>27</v>
      </c>
      <c r="C5" s="4">
        <f>+Tabla5[[#This Row],[FECHA]]</f>
        <v>44909</v>
      </c>
      <c r="D5" s="37">
        <v>0.64583333333333337</v>
      </c>
      <c r="E5" s="37">
        <v>0.67361111111111116</v>
      </c>
      <c r="F5" s="37">
        <v>0.68194444444444446</v>
      </c>
      <c r="G5" s="56">
        <v>0.83333333333333337</v>
      </c>
      <c r="H5" s="37">
        <v>0.84375</v>
      </c>
      <c r="I5" s="37">
        <v>0.8666666666666667</v>
      </c>
      <c r="J5" s="46">
        <v>0.98611111111111116</v>
      </c>
      <c r="K5" s="47"/>
      <c r="M5" s="5"/>
      <c r="N5" s="5" t="s">
        <v>16</v>
      </c>
      <c r="O5" s="4">
        <f>Tabla53839404142[[#This Row],[FECHA]]</f>
        <v>44909</v>
      </c>
      <c r="P5" s="7">
        <f>D5</f>
        <v>0.64583333333333337</v>
      </c>
      <c r="Q5" s="7">
        <f t="shared" si="0"/>
        <v>2.777777777777779E-2</v>
      </c>
      <c r="R5" s="7">
        <f t="shared" si="0"/>
        <v>8.3333333333333037E-3</v>
      </c>
      <c r="S5" s="7">
        <f t="shared" si="0"/>
        <v>0.15138888888888891</v>
      </c>
      <c r="T5" s="7">
        <f>+Tabla53839404142[[#This Row],[ALMUERZO]]-Tabla53839404142[[#This Row],[TERMINO ACT. AM]]</f>
        <v>1.041666666666663E-2</v>
      </c>
      <c r="U5" s="7">
        <f>+Tabla53839404142[[#This Row],[INICIO ACTIVIDADES PM]]-Tabla53839404142[[#This Row],[ALMUERZO]]</f>
        <v>2.2916666666666696E-2</v>
      </c>
      <c r="V5" s="7">
        <f>+Tabla53839404142[[#This Row],[TERMINO ACTIVIDADES PM]]-Tabla53839404142[[#This Row],[INICIO ACTIVIDADES PM]]</f>
        <v>0.11944444444444446</v>
      </c>
      <c r="W5" s="3">
        <f t="shared" si="1"/>
        <v>0.33333333333333331</v>
      </c>
      <c r="X5" s="3">
        <f t="shared" si="2"/>
        <v>0.35416666666666669</v>
      </c>
      <c r="Y5" s="3">
        <f t="shared" si="3"/>
        <v>0.375</v>
      </c>
      <c r="Z5" s="3">
        <f t="shared" si="4"/>
        <v>0.59375</v>
      </c>
      <c r="AA5" s="3">
        <f t="shared" si="5"/>
        <v>0.61458333333333337</v>
      </c>
      <c r="AB5" s="3">
        <f t="shared" si="6"/>
        <v>0.63541666666666663</v>
      </c>
      <c r="AC5" s="3">
        <f t="shared" si="7"/>
        <v>0.66666666666666663</v>
      </c>
    </row>
    <row r="6" spans="1:29" x14ac:dyDescent="0.3">
      <c r="A6" s="12" t="s">
        <v>99</v>
      </c>
      <c r="B6" s="12" t="s">
        <v>28</v>
      </c>
      <c r="C6" s="4">
        <f>+Tabla5[[#This Row],[FECHA]]</f>
        <v>44910</v>
      </c>
      <c r="D6" s="37">
        <v>0.64583333333333337</v>
      </c>
      <c r="E6" s="37">
        <v>0.67013888888888884</v>
      </c>
      <c r="F6" s="37">
        <v>0.68402777777777779</v>
      </c>
      <c r="G6" s="37">
        <v>0.8125</v>
      </c>
      <c r="H6" s="37">
        <v>0.82638888888888884</v>
      </c>
      <c r="I6" s="37">
        <v>0.85416666666666663</v>
      </c>
      <c r="J6" s="46">
        <v>0.98611111111111116</v>
      </c>
      <c r="K6" s="47"/>
      <c r="M6" s="5"/>
      <c r="N6" s="5" t="s">
        <v>17</v>
      </c>
      <c r="O6" s="4">
        <f>Tabla53839404142[[#This Row],[FECHA]]</f>
        <v>44910</v>
      </c>
      <c r="P6" s="7">
        <f>D6</f>
        <v>0.64583333333333337</v>
      </c>
      <c r="Q6" s="7">
        <f t="shared" si="0"/>
        <v>2.4305555555555469E-2</v>
      </c>
      <c r="R6" s="7">
        <f t="shared" si="0"/>
        <v>1.3888888888888951E-2</v>
      </c>
      <c r="S6" s="7">
        <f t="shared" si="0"/>
        <v>0.12847222222222221</v>
      </c>
      <c r="T6" s="7">
        <f>+Tabla53839404142[[#This Row],[ALMUERZO]]-Tabla53839404142[[#This Row],[TERMINO ACT. AM]]</f>
        <v>1.388888888888884E-2</v>
      </c>
      <c r="U6" s="7">
        <f>+Tabla53839404142[[#This Row],[INICIO ACTIVIDADES PM]]-Tabla53839404142[[#This Row],[ALMUERZO]]</f>
        <v>2.777777777777779E-2</v>
      </c>
      <c r="V6" s="7">
        <f>+Tabla53839404142[[#This Row],[TERMINO ACTIVIDADES PM]]-Tabla53839404142[[#This Row],[INICIO ACTIVIDADES PM]]</f>
        <v>0.13194444444444453</v>
      </c>
      <c r="W6" s="3">
        <f t="shared" si="1"/>
        <v>0.33333333333333331</v>
      </c>
      <c r="X6" s="3">
        <f t="shared" si="2"/>
        <v>0.35416666666666669</v>
      </c>
      <c r="Y6" s="3">
        <f t="shared" si="3"/>
        <v>0.375</v>
      </c>
      <c r="Z6" s="3">
        <f t="shared" si="4"/>
        <v>0.59375</v>
      </c>
      <c r="AA6" s="3">
        <f t="shared" si="5"/>
        <v>0.61458333333333337</v>
      </c>
      <c r="AB6" s="3">
        <f t="shared" si="6"/>
        <v>0.63541666666666663</v>
      </c>
      <c r="AC6" s="3">
        <f t="shared" si="7"/>
        <v>0.66666666666666663</v>
      </c>
    </row>
    <row r="7" spans="1:29" x14ac:dyDescent="0.3">
      <c r="A7" s="12" t="s">
        <v>99</v>
      </c>
      <c r="B7" s="12" t="s">
        <v>38</v>
      </c>
      <c r="C7" s="4">
        <f>+Tabla5[[#This Row],[FECHA]]</f>
        <v>44911</v>
      </c>
      <c r="D7" s="37">
        <v>0.64583333333333337</v>
      </c>
      <c r="E7" s="37">
        <v>0.67013888888888884</v>
      </c>
      <c r="F7" s="37">
        <v>0.6875</v>
      </c>
      <c r="G7" s="56">
        <v>0.83333333333333337</v>
      </c>
      <c r="H7" s="37">
        <v>0.84722222222222221</v>
      </c>
      <c r="I7" s="37">
        <v>0.87847222222222221</v>
      </c>
      <c r="J7" s="46">
        <v>0.98611111111111116</v>
      </c>
      <c r="K7" s="47"/>
      <c r="M7" s="5"/>
      <c r="N7" s="5" t="s">
        <v>18</v>
      </c>
      <c r="O7" s="4">
        <f>Tabla53839404142[[#This Row],[FECHA]]</f>
        <v>44911</v>
      </c>
      <c r="P7" s="7">
        <f>D7</f>
        <v>0.64583333333333337</v>
      </c>
      <c r="Q7" s="7">
        <f t="shared" si="0"/>
        <v>2.4305555555555469E-2</v>
      </c>
      <c r="R7" s="7">
        <f t="shared" si="0"/>
        <v>1.736111111111116E-2</v>
      </c>
      <c r="S7" s="7">
        <f t="shared" si="0"/>
        <v>0.14583333333333337</v>
      </c>
      <c r="T7" s="7">
        <f>+Tabla53839404142[[#This Row],[ALMUERZO]]-Tabla53839404142[[#This Row],[TERMINO ACT. AM]]</f>
        <v>1.388888888888884E-2</v>
      </c>
      <c r="U7" s="7">
        <f>+Tabla53839404142[[#This Row],[INICIO ACTIVIDADES PM]]-Tabla53839404142[[#This Row],[ALMUERZO]]</f>
        <v>3.125E-2</v>
      </c>
      <c r="V7" s="7">
        <f>+Tabla53839404142[[#This Row],[TERMINO ACTIVIDADES PM]]-Tabla53839404142[[#This Row],[INICIO ACTIVIDADES PM]]</f>
        <v>0.10763888888888895</v>
      </c>
      <c r="W7" s="3">
        <f t="shared" si="1"/>
        <v>0.33333333333333331</v>
      </c>
      <c r="X7" s="3">
        <f t="shared" si="2"/>
        <v>0.35416666666666669</v>
      </c>
      <c r="Y7" s="3">
        <f t="shared" si="3"/>
        <v>0.375</v>
      </c>
      <c r="Z7" s="3">
        <f t="shared" si="4"/>
        <v>0.59375</v>
      </c>
      <c r="AA7" s="3">
        <f t="shared" si="5"/>
        <v>0.61458333333333337</v>
      </c>
      <c r="AB7" s="3">
        <f t="shared" si="6"/>
        <v>0.63541666666666663</v>
      </c>
      <c r="AC7" s="3">
        <f t="shared" si="7"/>
        <v>0.66666666666666663</v>
      </c>
    </row>
    <row r="8" spans="1:29" x14ac:dyDescent="0.3">
      <c r="A8" s="11"/>
      <c r="B8" s="11"/>
      <c r="C8" s="4"/>
      <c r="D8" s="39"/>
      <c r="E8" s="56"/>
      <c r="F8" s="56"/>
      <c r="G8" s="56"/>
      <c r="H8" s="56"/>
      <c r="I8" s="56"/>
      <c r="J8" s="56"/>
      <c r="K8" s="38"/>
      <c r="M8" s="5"/>
      <c r="N8" s="5"/>
      <c r="O8" s="4"/>
      <c r="P8" s="7"/>
      <c r="Q8" s="7"/>
      <c r="R8" s="7"/>
      <c r="S8" s="7"/>
      <c r="T8" s="7"/>
      <c r="U8" s="7"/>
      <c r="V8" s="7"/>
      <c r="W8" s="3"/>
      <c r="X8" s="3"/>
      <c r="Y8" s="3"/>
      <c r="Z8" s="3"/>
      <c r="AA8" s="3"/>
      <c r="AB8" s="3"/>
      <c r="AC8" s="3"/>
    </row>
    <row r="9" spans="1:29" x14ac:dyDescent="0.3">
      <c r="A9" s="11"/>
      <c r="B9" s="11"/>
      <c r="C9" s="11"/>
      <c r="D9" s="37"/>
      <c r="E9" s="37"/>
      <c r="F9" s="37"/>
      <c r="G9" s="56"/>
      <c r="H9" s="37"/>
      <c r="I9" s="37"/>
      <c r="J9" s="46"/>
      <c r="K9" s="38"/>
      <c r="M9" s="5">
        <f>Tabla53839404142[[#This Row],[Columna1]]</f>
        <v>0</v>
      </c>
      <c r="N9" s="5"/>
      <c r="O9" s="4"/>
      <c r="T9" s="3"/>
      <c r="X9" s="3"/>
      <c r="Y9" s="3"/>
      <c r="Z9" s="3"/>
      <c r="AA9" s="3"/>
      <c r="AB9" s="3"/>
      <c r="AC9" s="3"/>
    </row>
    <row r="10" spans="1:29" x14ac:dyDescent="0.3">
      <c r="A10" s="40"/>
      <c r="B10" s="40"/>
      <c r="C10" s="40"/>
      <c r="D10" s="37"/>
      <c r="E10" s="37"/>
      <c r="F10" s="37"/>
      <c r="G10" s="56"/>
      <c r="H10" s="37"/>
      <c r="I10" s="37"/>
      <c r="J10" s="46"/>
      <c r="K10" s="38"/>
      <c r="M10" s="18"/>
      <c r="N10" s="5"/>
      <c r="O10" s="4"/>
      <c r="T10" s="3"/>
      <c r="X10" s="77"/>
      <c r="Y10" s="77"/>
      <c r="Z10" s="78"/>
      <c r="AA10" s="78"/>
      <c r="AB10" s="3"/>
      <c r="AC10" s="3"/>
    </row>
    <row r="11" spans="1:29" x14ac:dyDescent="0.3">
      <c r="A11" s="40"/>
      <c r="B11" s="40"/>
      <c r="C11" s="40"/>
      <c r="D11" s="37"/>
      <c r="E11" s="37"/>
      <c r="F11" s="37"/>
      <c r="G11" s="56"/>
      <c r="H11" s="37"/>
      <c r="I11" s="37"/>
      <c r="J11" s="46"/>
      <c r="K11" s="38"/>
      <c r="M11" s="5"/>
      <c r="N11" s="5"/>
      <c r="O11" s="4"/>
      <c r="T11" s="3"/>
      <c r="X11" s="77"/>
      <c r="Y11" s="77"/>
      <c r="Z11" s="78"/>
      <c r="AA11" s="78"/>
      <c r="AB11" s="3"/>
      <c r="AC11" s="3"/>
    </row>
    <row r="12" spans="1:29" x14ac:dyDescent="0.3">
      <c r="A12" s="11"/>
      <c r="B12" s="11"/>
      <c r="C12" s="11"/>
      <c r="D12" s="37"/>
      <c r="E12" s="37"/>
      <c r="F12" s="37"/>
      <c r="G12" s="37"/>
      <c r="H12" s="37"/>
      <c r="I12" s="37"/>
      <c r="J12" s="46"/>
      <c r="K12" s="38"/>
      <c r="M12" s="5"/>
      <c r="N12" s="5"/>
      <c r="O12" s="4"/>
      <c r="T12" s="3"/>
      <c r="X12" s="77"/>
      <c r="Y12" s="77"/>
      <c r="Z12" s="78"/>
      <c r="AA12" s="78"/>
      <c r="AB12" s="3"/>
      <c r="AC12" s="3"/>
    </row>
    <row r="13" spans="1:29" ht="16.2" thickBot="1" x14ac:dyDescent="0.35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56"/>
      <c r="M13" s="5"/>
      <c r="N13" s="5"/>
      <c r="O13" s="4"/>
      <c r="T13" s="3"/>
      <c r="X13" s="77"/>
      <c r="Y13" s="77"/>
      <c r="Z13" s="78"/>
      <c r="AA13" s="78"/>
      <c r="AB13" s="3"/>
      <c r="AC13" s="3"/>
    </row>
    <row r="14" spans="1:29" ht="16.2" thickBot="1" x14ac:dyDescent="0.35">
      <c r="A14" s="22"/>
      <c r="B14" s="22"/>
      <c r="C14" s="22"/>
      <c r="D14" s="22"/>
      <c r="E14" s="22"/>
      <c r="F14" s="23"/>
      <c r="G14" s="24" t="s">
        <v>24</v>
      </c>
      <c r="H14" s="24"/>
      <c r="I14" s="28"/>
      <c r="J14" s="28"/>
      <c r="K14" s="56"/>
      <c r="M14" s="5"/>
      <c r="N14" s="5"/>
      <c r="O14" s="4"/>
      <c r="T14" s="3"/>
      <c r="X14" s="77"/>
      <c r="Y14" s="77"/>
      <c r="Z14" s="78"/>
      <c r="AA14" s="78"/>
      <c r="AB14" s="3"/>
      <c r="AC14" s="3"/>
    </row>
    <row r="15" spans="1:29" ht="16.2" thickBot="1" x14ac:dyDescent="0.35">
      <c r="A15" s="22"/>
      <c r="B15" s="22"/>
      <c r="C15" s="22"/>
      <c r="D15" s="22"/>
      <c r="E15" s="22"/>
      <c r="F15" s="26" t="s">
        <v>29</v>
      </c>
      <c r="G15" s="26" t="s">
        <v>85</v>
      </c>
      <c r="H15" s="26"/>
      <c r="I15" s="28"/>
      <c r="J15" s="28"/>
      <c r="K15" s="56"/>
      <c r="T15" s="3"/>
    </row>
    <row r="16" spans="1:29" ht="16.2" thickBot="1" x14ac:dyDescent="0.35">
      <c r="A16" s="22"/>
      <c r="B16" s="22"/>
      <c r="C16" s="22"/>
      <c r="D16" s="22"/>
      <c r="E16" s="22"/>
      <c r="F16" s="23" t="s">
        <v>25</v>
      </c>
      <c r="G16" s="23">
        <f>+(G3-F3)+(J3-I3)</f>
        <v>0.25</v>
      </c>
      <c r="H16" s="23"/>
      <c r="I16" s="28"/>
      <c r="J16" s="28"/>
      <c r="K16" s="58"/>
    </row>
    <row r="17" spans="1:20" ht="16.2" thickBot="1" x14ac:dyDescent="0.35">
      <c r="A17" s="22"/>
      <c r="B17" s="22"/>
      <c r="C17" s="22"/>
      <c r="D17" s="22"/>
      <c r="E17" s="22"/>
      <c r="F17" s="23" t="s">
        <v>26</v>
      </c>
      <c r="G17" s="23">
        <f>+(G4-F4)+(J4-I4)</f>
        <v>0.26458333333333339</v>
      </c>
      <c r="H17" s="23"/>
      <c r="I17" s="28"/>
      <c r="J17" s="28"/>
      <c r="K17" s="58"/>
    </row>
    <row r="18" spans="1:20" ht="16.2" thickBot="1" x14ac:dyDescent="0.35">
      <c r="A18" s="22"/>
      <c r="B18" s="22"/>
      <c r="C18" s="22"/>
      <c r="D18" s="22"/>
      <c r="E18" s="22"/>
      <c r="F18" s="23" t="s">
        <v>27</v>
      </c>
      <c r="G18" s="23">
        <f>+(G5-F5)+(J5-I5)</f>
        <v>0.27083333333333337</v>
      </c>
      <c r="H18" s="23"/>
      <c r="I18" s="28"/>
      <c r="J18" s="28"/>
      <c r="K18" s="58"/>
    </row>
    <row r="19" spans="1:20" ht="16.2" thickBot="1" x14ac:dyDescent="0.35">
      <c r="A19" s="22"/>
      <c r="B19" s="22"/>
      <c r="C19" s="22"/>
      <c r="D19" s="22"/>
      <c r="E19" s="22"/>
      <c r="F19" s="23" t="s">
        <v>28</v>
      </c>
      <c r="G19" s="23">
        <f>+(G6-F6)+(J6-I6)</f>
        <v>0.26041666666666674</v>
      </c>
      <c r="H19" s="23"/>
      <c r="I19" s="28"/>
      <c r="J19" s="28"/>
      <c r="K19" s="58"/>
    </row>
    <row r="20" spans="1:20" ht="16.2" thickBot="1" x14ac:dyDescent="0.35">
      <c r="A20" s="22"/>
      <c r="B20" s="22"/>
      <c r="C20" s="22"/>
      <c r="D20" s="22"/>
      <c r="E20" s="22"/>
      <c r="F20" s="23" t="s">
        <v>50</v>
      </c>
      <c r="G20" s="23">
        <f>+(G7-F7)+(J7-I7)</f>
        <v>0.25347222222222232</v>
      </c>
      <c r="H20" s="23"/>
      <c r="I20" s="28"/>
      <c r="J20" s="28"/>
      <c r="K20" s="58"/>
    </row>
    <row r="21" spans="1:20" ht="20.25" customHeight="1" thickBot="1" x14ac:dyDescent="0.35">
      <c r="A21" s="22"/>
      <c r="B21" s="22"/>
      <c r="C21" s="22"/>
      <c r="D21" s="22"/>
      <c r="E21" s="22"/>
      <c r="F21" s="30" t="s">
        <v>40</v>
      </c>
      <c r="G21" s="30">
        <f>+AVERAGEIF(G16:G20, "&lt;&gt; 0")</f>
        <v>0.25986111111111115</v>
      </c>
      <c r="H21" s="30"/>
      <c r="I21" s="28"/>
      <c r="J21" s="28"/>
      <c r="K21" s="58"/>
    </row>
    <row r="22" spans="1:20" ht="16.2" thickBot="1" x14ac:dyDescent="0.35">
      <c r="A22" s="22"/>
      <c r="B22" s="22"/>
      <c r="C22" s="22"/>
      <c r="D22" s="22"/>
      <c r="E22" s="22"/>
      <c r="F22" s="25" t="s">
        <v>0</v>
      </c>
      <c r="G22" s="25">
        <v>0.25</v>
      </c>
      <c r="H22" s="25"/>
      <c r="I22" s="28"/>
      <c r="J22" s="28"/>
    </row>
    <row r="23" spans="1:20" ht="16.2" thickBot="1" x14ac:dyDescent="0.35">
      <c r="A23" s="41"/>
      <c r="B23" s="41"/>
      <c r="C23" s="42"/>
      <c r="D23" s="43"/>
      <c r="E23" s="43"/>
      <c r="F23" s="30" t="s">
        <v>41</v>
      </c>
      <c r="G23" s="44">
        <f>G21/G22</f>
        <v>1.0394444444444446</v>
      </c>
      <c r="H23" s="44"/>
      <c r="I23" s="43"/>
      <c r="J23" s="28"/>
    </row>
    <row r="24" spans="1:20" x14ac:dyDescent="0.3">
      <c r="E24" s="3"/>
      <c r="F24" s="3"/>
      <c r="I24" s="28"/>
      <c r="J24" s="28"/>
    </row>
    <row r="25" spans="1:20" x14ac:dyDescent="0.3">
      <c r="T25" s="3"/>
    </row>
    <row r="26" spans="1:20" x14ac:dyDescent="0.3">
      <c r="T26" s="3"/>
    </row>
    <row r="27" spans="1:20" ht="15.6" customHeight="1" x14ac:dyDescent="0.3">
      <c r="I27" s="181" t="s">
        <v>105</v>
      </c>
      <c r="J27" s="182" t="s">
        <v>104</v>
      </c>
      <c r="T27" s="3"/>
    </row>
    <row r="28" spans="1:20" ht="15.6" customHeight="1" x14ac:dyDescent="0.3">
      <c r="I28" s="181"/>
      <c r="J28" s="183"/>
      <c r="T28" s="3"/>
    </row>
    <row r="29" spans="1:20" ht="15.6" customHeight="1" x14ac:dyDescent="0.3">
      <c r="I29" s="181"/>
      <c r="J29" s="183"/>
      <c r="T29" s="3"/>
    </row>
    <row r="30" spans="1:20" ht="15.6" customHeight="1" x14ac:dyDescent="0.3">
      <c r="I30" s="181"/>
      <c r="J30" s="184"/>
      <c r="T30" s="3"/>
    </row>
    <row r="31" spans="1:20" x14ac:dyDescent="0.3">
      <c r="T31" s="3"/>
    </row>
    <row r="32" spans="1:20" x14ac:dyDescent="0.3">
      <c r="T32" s="3"/>
    </row>
    <row r="33" spans="20:20" x14ac:dyDescent="0.3">
      <c r="T33" s="3"/>
    </row>
    <row r="34" spans="20:20" x14ac:dyDescent="0.3">
      <c r="T34" s="3"/>
    </row>
    <row r="35" spans="20:20" x14ac:dyDescent="0.3">
      <c r="T35" s="3"/>
    </row>
    <row r="36" spans="20:20" x14ac:dyDescent="0.3">
      <c r="T36" s="3"/>
    </row>
    <row r="37" spans="20:20" x14ac:dyDescent="0.3">
      <c r="T37" s="3"/>
    </row>
    <row r="38" spans="20:20" x14ac:dyDescent="0.3">
      <c r="T38" s="3"/>
    </row>
    <row r="39" spans="20:20" x14ac:dyDescent="0.3">
      <c r="T39" s="3"/>
    </row>
    <row r="40" spans="20:20" x14ac:dyDescent="0.3">
      <c r="T40" s="3"/>
    </row>
    <row r="41" spans="20:20" x14ac:dyDescent="0.3">
      <c r="T41" s="3"/>
    </row>
    <row r="42" spans="20:20" x14ac:dyDescent="0.3">
      <c r="T42" s="3"/>
    </row>
    <row r="43" spans="20:20" x14ac:dyDescent="0.3">
      <c r="T43" s="3"/>
    </row>
    <row r="44" spans="20:20" x14ac:dyDescent="0.3">
      <c r="T44" s="3"/>
    </row>
    <row r="45" spans="20:20" x14ac:dyDescent="0.3">
      <c r="T45" s="3"/>
    </row>
    <row r="46" spans="20:20" x14ac:dyDescent="0.3">
      <c r="T46" s="3"/>
    </row>
    <row r="47" spans="20:20" x14ac:dyDescent="0.3">
      <c r="T47" s="3"/>
    </row>
    <row r="48" spans="20:20" x14ac:dyDescent="0.3">
      <c r="T48" s="3"/>
    </row>
    <row r="49" spans="20:20" x14ac:dyDescent="0.3">
      <c r="T49" s="3"/>
    </row>
    <row r="50" spans="20:20" x14ac:dyDescent="0.3">
      <c r="T50" s="3"/>
    </row>
    <row r="51" spans="20:20" x14ac:dyDescent="0.3">
      <c r="T51" s="3"/>
    </row>
    <row r="52" spans="20:20" x14ac:dyDescent="0.3">
      <c r="T52" s="3"/>
    </row>
    <row r="53" spans="20:20" x14ac:dyDescent="0.3">
      <c r="T53" s="3"/>
    </row>
    <row r="54" spans="20:20" x14ac:dyDescent="0.3">
      <c r="T54" s="3"/>
    </row>
    <row r="55" spans="20:20" x14ac:dyDescent="0.3">
      <c r="T55" s="3"/>
    </row>
    <row r="56" spans="20:20" x14ac:dyDescent="0.3">
      <c r="T56" s="3"/>
    </row>
    <row r="57" spans="20:20" x14ac:dyDescent="0.3">
      <c r="T57" s="3"/>
    </row>
  </sheetData>
  <mergeCells count="2">
    <mergeCell ref="I27:I30"/>
    <mergeCell ref="J27:J30"/>
  </mergeCells>
  <pageMargins left="0.7" right="0.7" top="0.75" bottom="0.75" header="0.3" footer="0.3"/>
  <drawing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7"/>
  <sheetViews>
    <sheetView zoomScale="60" zoomScaleNormal="60" workbookViewId="0">
      <selection activeCell="F5" sqref="F5"/>
    </sheetView>
  </sheetViews>
  <sheetFormatPr baseColWidth="10" defaultRowHeight="15.6" x14ac:dyDescent="0.3"/>
  <cols>
    <col min="6" max="6" width="17.69921875" customWidth="1"/>
    <col min="7" max="7" width="16.69921875" customWidth="1"/>
  </cols>
  <sheetData>
    <row r="1" spans="1:29" x14ac:dyDescent="0.3">
      <c r="C1" s="31" t="s">
        <v>0</v>
      </c>
      <c r="D1" s="32">
        <v>0.66666666666666663</v>
      </c>
      <c r="E1" s="32">
        <v>0.6875</v>
      </c>
      <c r="F1" s="32">
        <v>0.69791666666666663</v>
      </c>
      <c r="G1" s="32">
        <v>0.70486111111111116</v>
      </c>
      <c r="H1" s="32">
        <v>0.95486111111111116</v>
      </c>
      <c r="I1" s="32">
        <v>0.96180555555555547</v>
      </c>
      <c r="J1" s="32">
        <v>0.97222222222222221</v>
      </c>
    </row>
    <row r="2" spans="1:29" ht="62.4" x14ac:dyDescent="0.3">
      <c r="A2" s="13" t="s">
        <v>13</v>
      </c>
      <c r="B2" s="27" t="s">
        <v>39</v>
      </c>
      <c r="C2" s="14" t="s">
        <v>9</v>
      </c>
      <c r="D2" s="15" t="s">
        <v>1</v>
      </c>
      <c r="E2" s="15" t="s">
        <v>20</v>
      </c>
      <c r="F2" s="16" t="s">
        <v>42</v>
      </c>
      <c r="G2" s="16" t="s">
        <v>43</v>
      </c>
      <c r="H2" s="16" t="s">
        <v>21</v>
      </c>
      <c r="I2" s="17" t="s">
        <v>44</v>
      </c>
      <c r="J2" s="16" t="s">
        <v>45</v>
      </c>
      <c r="K2" s="35" t="s">
        <v>36</v>
      </c>
      <c r="M2" s="1" t="s">
        <v>11</v>
      </c>
      <c r="N2" s="1" t="s">
        <v>14</v>
      </c>
      <c r="O2" s="1" t="s">
        <v>12</v>
      </c>
      <c r="P2" s="8" t="s">
        <v>10</v>
      </c>
      <c r="Q2" s="6" t="s">
        <v>35</v>
      </c>
      <c r="R2" s="9" t="s">
        <v>34</v>
      </c>
      <c r="S2" s="6" t="s">
        <v>23</v>
      </c>
      <c r="T2" s="16" t="s">
        <v>53</v>
      </c>
      <c r="U2" s="6" t="s">
        <v>19</v>
      </c>
      <c r="V2" s="21" t="s">
        <v>22</v>
      </c>
      <c r="W2" s="19" t="s">
        <v>30</v>
      </c>
      <c r="X2" s="20" t="s">
        <v>31</v>
      </c>
      <c r="Y2" s="20" t="s">
        <v>32</v>
      </c>
      <c r="Z2" s="20" t="s">
        <v>33</v>
      </c>
      <c r="AA2" s="19" t="s">
        <v>46</v>
      </c>
      <c r="AB2" s="19" t="s">
        <v>47</v>
      </c>
      <c r="AC2" s="19" t="s">
        <v>48</v>
      </c>
    </row>
    <row r="3" spans="1:29" x14ac:dyDescent="0.3">
      <c r="A3" s="12" t="s">
        <v>87</v>
      </c>
      <c r="B3" s="12" t="s">
        <v>37</v>
      </c>
      <c r="C3" s="4">
        <f>+Tabla5[[#This Row],[FECHA]]</f>
        <v>44907</v>
      </c>
      <c r="D3" s="37">
        <v>0.33680555555555558</v>
      </c>
      <c r="E3" s="37">
        <v>0.36805555555555558</v>
      </c>
      <c r="F3" s="37">
        <v>0.37847222222222227</v>
      </c>
      <c r="G3" s="46">
        <v>0.60069444444444442</v>
      </c>
      <c r="H3" s="46">
        <v>0.61111111111111105</v>
      </c>
      <c r="I3" s="46">
        <v>0.63541666666666663</v>
      </c>
      <c r="J3" s="46">
        <v>0.65972222222222221</v>
      </c>
      <c r="K3" s="47"/>
      <c r="L3" s="53"/>
      <c r="M3" s="53"/>
      <c r="N3" s="57" t="s">
        <v>15</v>
      </c>
      <c r="O3" s="4">
        <f>Tabla538394041424344[[#This Row],[FECHA]]</f>
        <v>44907</v>
      </c>
      <c r="P3" s="7">
        <f>D3</f>
        <v>0.33680555555555558</v>
      </c>
      <c r="Q3" s="7">
        <f>E3-D3</f>
        <v>3.125E-2</v>
      </c>
      <c r="R3" s="7">
        <f>F3-E3</f>
        <v>1.0416666666666685E-2</v>
      </c>
      <c r="S3" s="7">
        <f>G3-F3</f>
        <v>0.22222222222222215</v>
      </c>
      <c r="T3" s="7">
        <f>+Tabla538394041424344[[#This Row],[ALMUERZO]]-Tabla538394041424344[[#This Row],[TERMINO ACT. AM]]</f>
        <v>1.041666666666663E-2</v>
      </c>
      <c r="U3" s="7">
        <f>+Tabla538394041424344[[#This Row],[INICIO ACTIVIDADES PM]]-Tabla538394041424344[[#This Row],[ALMUERZO]]</f>
        <v>2.430555555555558E-2</v>
      </c>
      <c r="V3" s="7">
        <f>+Tabla538394041424344[[#This Row],[TERMINO ACTIVIDADES PM]]-Tabla538394041424344[[#This Row],[INICIO ACTIVIDADES PM]]</f>
        <v>2.430555555555558E-2</v>
      </c>
      <c r="W3" s="3">
        <f>+$D$1</f>
        <v>0.66666666666666663</v>
      </c>
      <c r="X3" s="3">
        <f>+$E$1</f>
        <v>0.6875</v>
      </c>
      <c r="Y3" s="3">
        <f>+$F$1</f>
        <v>0.69791666666666663</v>
      </c>
      <c r="Z3" s="3">
        <f>+$G$1</f>
        <v>0.70486111111111116</v>
      </c>
      <c r="AA3" s="3">
        <f>+$H$1</f>
        <v>0.95486111111111116</v>
      </c>
      <c r="AB3" s="3">
        <f>+$I$1</f>
        <v>0.96180555555555547</v>
      </c>
      <c r="AC3" s="3">
        <f>+$J$1</f>
        <v>0.97222222222222221</v>
      </c>
    </row>
    <row r="4" spans="1:29" x14ac:dyDescent="0.3">
      <c r="A4" s="12" t="s">
        <v>87</v>
      </c>
      <c r="B4" s="12" t="s">
        <v>26</v>
      </c>
      <c r="C4" s="4">
        <f>+Tabla5[[#This Row],[FECHA]]</f>
        <v>44908</v>
      </c>
      <c r="D4" s="37">
        <v>0.33680555555555558</v>
      </c>
      <c r="E4" s="37">
        <v>0.35069444444444442</v>
      </c>
      <c r="F4" s="37">
        <v>0.37361111111111112</v>
      </c>
      <c r="G4" s="46">
        <v>0.60416666666666663</v>
      </c>
      <c r="H4" s="46">
        <v>0.61458333333333337</v>
      </c>
      <c r="I4" s="46">
        <v>0.63541666666666663</v>
      </c>
      <c r="J4" s="46">
        <v>0.65972222222222221</v>
      </c>
      <c r="K4" s="47"/>
      <c r="M4" s="5"/>
      <c r="N4" s="5" t="s">
        <v>16</v>
      </c>
      <c r="O4" s="4">
        <f>Tabla538394041424344[[#This Row],[FECHA]]</f>
        <v>44908</v>
      </c>
      <c r="P4" s="7">
        <f>D4</f>
        <v>0.33680555555555558</v>
      </c>
      <c r="Q4" s="7">
        <f t="shared" ref="Q4:S7" si="0">E4-D4</f>
        <v>1.388888888888884E-2</v>
      </c>
      <c r="R4" s="7">
        <f t="shared" si="0"/>
        <v>2.2916666666666696E-2</v>
      </c>
      <c r="S4" s="7">
        <f t="shared" si="0"/>
        <v>0.23055555555555551</v>
      </c>
      <c r="T4" s="7">
        <f>+Tabla538394041424344[[#This Row],[ALMUERZO]]-Tabla538394041424344[[#This Row],[TERMINO ACT. AM]]</f>
        <v>1.0416666666666741E-2</v>
      </c>
      <c r="U4" s="7">
        <f>+Tabla538394041424344[[#This Row],[INICIO ACTIVIDADES PM]]-Tabla538394041424344[[#This Row],[ALMUERZO]]</f>
        <v>2.0833333333333259E-2</v>
      </c>
      <c r="V4" s="7">
        <f>+Tabla538394041424344[[#This Row],[TERMINO ACTIVIDADES PM]]-Tabla538394041424344[[#This Row],[INICIO ACTIVIDADES PM]]</f>
        <v>2.430555555555558E-2</v>
      </c>
      <c r="W4" s="3">
        <f t="shared" ref="W4:W7" si="1">+$D$1</f>
        <v>0.66666666666666663</v>
      </c>
      <c r="X4" s="3">
        <f t="shared" ref="X4:X7" si="2">+$E$1</f>
        <v>0.6875</v>
      </c>
      <c r="Y4" s="3">
        <f t="shared" ref="Y4:Y7" si="3">+$F$1</f>
        <v>0.69791666666666663</v>
      </c>
      <c r="Z4" s="3">
        <f t="shared" ref="Z4:Z7" si="4">+$G$1</f>
        <v>0.70486111111111116</v>
      </c>
      <c r="AA4" s="3">
        <f t="shared" ref="AA4:AA7" si="5">+$H$1</f>
        <v>0.95486111111111116</v>
      </c>
      <c r="AB4" s="3">
        <f t="shared" ref="AB4:AB7" si="6">+$I$1</f>
        <v>0.96180555555555547</v>
      </c>
      <c r="AC4" s="3">
        <f t="shared" ref="AC4:AC7" si="7">+$J$1</f>
        <v>0.97222222222222221</v>
      </c>
    </row>
    <row r="5" spans="1:29" x14ac:dyDescent="0.3">
      <c r="A5" s="12" t="s">
        <v>87</v>
      </c>
      <c r="B5" s="12" t="s">
        <v>27</v>
      </c>
      <c r="C5" s="4">
        <f>+Tabla5[[#This Row],[FECHA]]</f>
        <v>44909</v>
      </c>
      <c r="D5" s="37">
        <v>0.33680555555555558</v>
      </c>
      <c r="E5" s="37">
        <v>0.36458333333333331</v>
      </c>
      <c r="F5" s="37">
        <v>0.37847222222222227</v>
      </c>
      <c r="G5" s="46">
        <v>0.61249999999999993</v>
      </c>
      <c r="H5" s="46">
        <v>0.625</v>
      </c>
      <c r="I5" s="46">
        <v>0.64583333333333337</v>
      </c>
      <c r="J5" s="46">
        <v>0.65972222222222221</v>
      </c>
      <c r="K5" s="47"/>
      <c r="M5" s="5"/>
      <c r="N5" s="5" t="s">
        <v>16</v>
      </c>
      <c r="O5" s="4">
        <f>Tabla538394041424344[[#This Row],[FECHA]]</f>
        <v>44909</v>
      </c>
      <c r="P5" s="7">
        <f>D5</f>
        <v>0.33680555555555558</v>
      </c>
      <c r="Q5" s="7">
        <f t="shared" si="0"/>
        <v>2.7777777777777735E-2</v>
      </c>
      <c r="R5" s="7">
        <f t="shared" si="0"/>
        <v>1.3888888888888951E-2</v>
      </c>
      <c r="S5" s="7">
        <f t="shared" si="0"/>
        <v>0.23402777777777767</v>
      </c>
      <c r="T5" s="7">
        <f>+Tabla538394041424344[[#This Row],[ALMUERZO]]-Tabla538394041424344[[#This Row],[TERMINO ACT. AM]]</f>
        <v>1.2500000000000067E-2</v>
      </c>
      <c r="U5" s="7">
        <f>+Tabla538394041424344[[#This Row],[INICIO ACTIVIDADES PM]]-Tabla538394041424344[[#This Row],[ALMUERZO]]</f>
        <v>2.083333333333337E-2</v>
      </c>
      <c r="V5" s="7">
        <f>+Tabla538394041424344[[#This Row],[TERMINO ACTIVIDADES PM]]-Tabla538394041424344[[#This Row],[INICIO ACTIVIDADES PM]]</f>
        <v>1.388888888888884E-2</v>
      </c>
      <c r="W5" s="3">
        <f t="shared" si="1"/>
        <v>0.66666666666666663</v>
      </c>
      <c r="X5" s="3">
        <f t="shared" si="2"/>
        <v>0.6875</v>
      </c>
      <c r="Y5" s="3">
        <f t="shared" si="3"/>
        <v>0.69791666666666663</v>
      </c>
      <c r="Z5" s="3">
        <f t="shared" si="4"/>
        <v>0.70486111111111116</v>
      </c>
      <c r="AA5" s="3">
        <f t="shared" si="5"/>
        <v>0.95486111111111116</v>
      </c>
      <c r="AB5" s="3">
        <f t="shared" si="6"/>
        <v>0.96180555555555547</v>
      </c>
      <c r="AC5" s="3">
        <f t="shared" si="7"/>
        <v>0.97222222222222221</v>
      </c>
    </row>
    <row r="6" spans="1:29" x14ac:dyDescent="0.3">
      <c r="A6" s="12" t="s">
        <v>87</v>
      </c>
      <c r="B6" s="12" t="s">
        <v>28</v>
      </c>
      <c r="C6" s="4">
        <f>+Tabla5[[#This Row],[FECHA]]</f>
        <v>44910</v>
      </c>
      <c r="D6" s="37">
        <v>0.33680555555555558</v>
      </c>
      <c r="E6" s="37">
        <v>0.3666666666666667</v>
      </c>
      <c r="F6" s="37">
        <v>0.37708333333333338</v>
      </c>
      <c r="G6" s="46">
        <v>0.61111111111111105</v>
      </c>
      <c r="H6" s="37">
        <v>0.625</v>
      </c>
      <c r="I6" s="46">
        <v>0.64583333333333337</v>
      </c>
      <c r="J6" s="46">
        <v>0.65972222222222221</v>
      </c>
      <c r="K6" s="47"/>
      <c r="M6" s="5"/>
      <c r="N6" s="5" t="s">
        <v>17</v>
      </c>
      <c r="O6" s="4">
        <f>Tabla538394041424344[[#This Row],[FECHA]]</f>
        <v>44910</v>
      </c>
      <c r="P6" s="7">
        <f>D6</f>
        <v>0.33680555555555558</v>
      </c>
      <c r="Q6" s="7">
        <f t="shared" si="0"/>
        <v>2.9861111111111116E-2</v>
      </c>
      <c r="R6" s="7">
        <f t="shared" si="0"/>
        <v>1.0416666666666685E-2</v>
      </c>
      <c r="S6" s="7">
        <f t="shared" si="0"/>
        <v>0.23402777777777767</v>
      </c>
      <c r="T6" s="7">
        <f>+Tabla538394041424344[[#This Row],[ALMUERZO]]-Tabla538394041424344[[#This Row],[TERMINO ACT. AM]]</f>
        <v>1.3888888888888951E-2</v>
      </c>
      <c r="U6" s="7">
        <f>+Tabla538394041424344[[#This Row],[INICIO ACTIVIDADES PM]]-Tabla538394041424344[[#This Row],[ALMUERZO]]</f>
        <v>2.083333333333337E-2</v>
      </c>
      <c r="V6" s="7">
        <f>+Tabla538394041424344[[#This Row],[TERMINO ACTIVIDADES PM]]-Tabla538394041424344[[#This Row],[INICIO ACTIVIDADES PM]]</f>
        <v>1.388888888888884E-2</v>
      </c>
      <c r="W6" s="3">
        <f t="shared" si="1"/>
        <v>0.66666666666666663</v>
      </c>
      <c r="X6" s="3">
        <f t="shared" si="2"/>
        <v>0.6875</v>
      </c>
      <c r="Y6" s="3">
        <f t="shared" si="3"/>
        <v>0.69791666666666663</v>
      </c>
      <c r="Z6" s="3">
        <f t="shared" si="4"/>
        <v>0.70486111111111116</v>
      </c>
      <c r="AA6" s="3">
        <f t="shared" si="5"/>
        <v>0.95486111111111116</v>
      </c>
      <c r="AB6" s="3">
        <f t="shared" si="6"/>
        <v>0.96180555555555547</v>
      </c>
      <c r="AC6" s="3">
        <f t="shared" si="7"/>
        <v>0.97222222222222221</v>
      </c>
    </row>
    <row r="7" spans="1:29" x14ac:dyDescent="0.3">
      <c r="A7" s="12" t="s">
        <v>87</v>
      </c>
      <c r="B7" s="12" t="s">
        <v>38</v>
      </c>
      <c r="C7" s="4">
        <f>+Tabla5[[#This Row],[FECHA]]</f>
        <v>44911</v>
      </c>
      <c r="D7" s="37">
        <v>0.33680555555555558</v>
      </c>
      <c r="E7" s="37">
        <v>0.3611111111111111</v>
      </c>
      <c r="F7" s="37">
        <v>0.3833333333333333</v>
      </c>
      <c r="G7" s="46">
        <v>0.59375</v>
      </c>
      <c r="H7" s="46">
        <v>0.60069444444444442</v>
      </c>
      <c r="I7" s="46">
        <v>0.62847222222222221</v>
      </c>
      <c r="J7" s="46">
        <v>0.65972222222222221</v>
      </c>
      <c r="K7" s="47"/>
      <c r="M7" s="5"/>
      <c r="N7" s="5" t="s">
        <v>18</v>
      </c>
      <c r="O7" s="4">
        <f>Tabla538394041424344[[#This Row],[FECHA]]</f>
        <v>44911</v>
      </c>
      <c r="P7" s="7">
        <f>D7</f>
        <v>0.33680555555555558</v>
      </c>
      <c r="Q7" s="7">
        <f t="shared" si="0"/>
        <v>2.4305555555555525E-2</v>
      </c>
      <c r="R7" s="7">
        <f t="shared" si="0"/>
        <v>2.2222222222222199E-2</v>
      </c>
      <c r="S7" s="7">
        <f t="shared" si="0"/>
        <v>0.2104166666666667</v>
      </c>
      <c r="T7" s="7">
        <f>+Tabla538394041424344[[#This Row],[ALMUERZO]]-Tabla538394041424344[[#This Row],[TERMINO ACT. AM]]</f>
        <v>6.9444444444444198E-3</v>
      </c>
      <c r="U7" s="7">
        <f>+Tabla538394041424344[[#This Row],[INICIO ACTIVIDADES PM]]-Tabla538394041424344[[#This Row],[ALMUERZO]]</f>
        <v>2.777777777777779E-2</v>
      </c>
      <c r="V7" s="7">
        <f>+Tabla538394041424344[[#This Row],[TERMINO ACTIVIDADES PM]]-Tabla538394041424344[[#This Row],[INICIO ACTIVIDADES PM]]</f>
        <v>3.125E-2</v>
      </c>
      <c r="W7" s="3">
        <f t="shared" si="1"/>
        <v>0.66666666666666663</v>
      </c>
      <c r="X7" s="3">
        <f t="shared" si="2"/>
        <v>0.6875</v>
      </c>
      <c r="Y7" s="3">
        <f t="shared" si="3"/>
        <v>0.69791666666666663</v>
      </c>
      <c r="Z7" s="3">
        <f t="shared" si="4"/>
        <v>0.70486111111111116</v>
      </c>
      <c r="AA7" s="3">
        <f t="shared" si="5"/>
        <v>0.95486111111111116</v>
      </c>
      <c r="AB7" s="3">
        <f t="shared" si="6"/>
        <v>0.96180555555555547</v>
      </c>
      <c r="AC7" s="3">
        <f t="shared" si="7"/>
        <v>0.97222222222222221</v>
      </c>
    </row>
    <row r="8" spans="1:29" x14ac:dyDescent="0.3">
      <c r="A8" s="11"/>
      <c r="B8" s="11"/>
      <c r="C8" s="4"/>
      <c r="D8" s="39"/>
      <c r="E8" s="56"/>
      <c r="F8" s="56"/>
      <c r="G8" s="56"/>
      <c r="H8" s="56"/>
      <c r="I8" s="56"/>
      <c r="J8" s="56"/>
      <c r="K8" s="38"/>
      <c r="M8" s="5"/>
      <c r="N8" s="5"/>
      <c r="O8" s="4"/>
      <c r="P8" s="7"/>
      <c r="Q8" s="7"/>
      <c r="R8" s="7"/>
      <c r="S8" s="7"/>
      <c r="T8" s="7"/>
      <c r="U8" s="7"/>
      <c r="V8" s="7"/>
      <c r="W8" s="3"/>
      <c r="X8" s="3"/>
      <c r="Y8" s="3"/>
      <c r="Z8" s="3"/>
      <c r="AA8" s="3"/>
      <c r="AB8" s="3"/>
      <c r="AC8" s="3"/>
    </row>
    <row r="9" spans="1:29" x14ac:dyDescent="0.3">
      <c r="A9" s="11"/>
      <c r="B9" s="11"/>
      <c r="C9" s="37"/>
      <c r="D9" s="37"/>
      <c r="E9" s="37"/>
      <c r="F9" s="46"/>
      <c r="G9" s="46"/>
      <c r="H9" s="46"/>
      <c r="I9" s="46"/>
      <c r="J9" s="11"/>
      <c r="K9" s="38"/>
      <c r="M9" s="5">
        <f>Tabla538394041424344[[#This Row],[Columna1]]</f>
        <v>0</v>
      </c>
      <c r="N9" s="5"/>
      <c r="O9" s="4"/>
      <c r="AA9" s="3"/>
      <c r="AB9" s="3"/>
      <c r="AC9" s="3"/>
    </row>
    <row r="10" spans="1:29" x14ac:dyDescent="0.3">
      <c r="A10" s="40"/>
      <c r="B10" s="40"/>
      <c r="C10" s="37"/>
      <c r="D10" s="37"/>
      <c r="E10" s="37"/>
      <c r="F10" s="46"/>
      <c r="G10" s="46"/>
      <c r="H10" s="46"/>
      <c r="I10" s="46"/>
      <c r="J10" s="40"/>
      <c r="K10" s="38"/>
      <c r="M10" s="18"/>
      <c r="N10" s="5"/>
      <c r="O10" s="4"/>
      <c r="V10" s="78"/>
      <c r="W10" s="78"/>
      <c r="AA10" s="3"/>
      <c r="AB10" s="3"/>
      <c r="AC10" s="3"/>
    </row>
    <row r="11" spans="1:29" x14ac:dyDescent="0.3">
      <c r="A11" s="40"/>
      <c r="B11" s="40"/>
      <c r="C11" s="37"/>
      <c r="D11" s="37"/>
      <c r="E11" s="37"/>
      <c r="F11" s="46"/>
      <c r="G11" s="46"/>
      <c r="H11" s="46"/>
      <c r="I11" s="46"/>
      <c r="J11" s="40"/>
      <c r="K11" s="38"/>
      <c r="M11" s="5"/>
      <c r="N11" s="5"/>
      <c r="O11" s="4"/>
      <c r="V11" s="78"/>
      <c r="W11" s="78"/>
      <c r="AA11" s="3"/>
      <c r="AB11" s="3"/>
      <c r="AC11" s="3"/>
    </row>
    <row r="12" spans="1:29" x14ac:dyDescent="0.3">
      <c r="A12" s="11"/>
      <c r="B12" s="11"/>
      <c r="C12" s="37"/>
      <c r="D12" s="37"/>
      <c r="E12" s="37"/>
      <c r="F12" s="46"/>
      <c r="G12" s="37"/>
      <c r="H12" s="46"/>
      <c r="I12" s="46"/>
      <c r="J12" s="11"/>
      <c r="K12" s="38"/>
      <c r="M12" s="5"/>
      <c r="N12" s="5"/>
      <c r="O12" s="4"/>
      <c r="V12" s="78"/>
      <c r="W12" s="78"/>
      <c r="AA12" s="3"/>
      <c r="AB12" s="3"/>
      <c r="AC12" s="3"/>
    </row>
    <row r="13" spans="1:29" ht="16.2" thickBot="1" x14ac:dyDescent="0.35">
      <c r="A13" s="12"/>
      <c r="B13" s="12"/>
      <c r="C13" s="37"/>
      <c r="D13" s="37"/>
      <c r="E13" s="37"/>
      <c r="F13" s="46"/>
      <c r="G13" s="46"/>
      <c r="H13" s="46"/>
      <c r="I13" s="46"/>
      <c r="J13" s="12"/>
      <c r="K13" s="56"/>
      <c r="M13" s="5"/>
      <c r="N13" s="5"/>
      <c r="O13" s="4"/>
      <c r="V13" s="77"/>
      <c r="W13" s="77"/>
      <c r="AA13" s="3"/>
      <c r="AB13" s="3"/>
      <c r="AC13" s="3"/>
    </row>
    <row r="14" spans="1:29" ht="16.2" thickBot="1" x14ac:dyDescent="0.35">
      <c r="A14" s="22"/>
      <c r="B14" s="22"/>
      <c r="C14" s="22"/>
      <c r="D14" s="22"/>
      <c r="E14" s="22"/>
      <c r="F14" s="23"/>
      <c r="G14" s="24" t="s">
        <v>24</v>
      </c>
      <c r="H14" s="24"/>
      <c r="I14" s="28"/>
      <c r="J14" s="28"/>
      <c r="K14" s="56"/>
      <c r="M14" s="5"/>
      <c r="N14" s="5"/>
      <c r="O14" s="4"/>
      <c r="V14" s="77"/>
      <c r="W14" s="77"/>
      <c r="AA14" s="3"/>
      <c r="AB14" s="3"/>
      <c r="AC14" s="3"/>
    </row>
    <row r="15" spans="1:29" ht="16.2" thickBot="1" x14ac:dyDescent="0.35">
      <c r="A15" s="22"/>
      <c r="B15" s="22"/>
      <c r="C15" s="22"/>
      <c r="D15" s="22"/>
      <c r="E15" s="22"/>
      <c r="F15" s="26" t="s">
        <v>29</v>
      </c>
      <c r="G15" s="26" t="s">
        <v>87</v>
      </c>
      <c r="H15" s="26"/>
      <c r="I15" s="28"/>
      <c r="J15" s="28"/>
      <c r="K15" s="56"/>
    </row>
    <row r="16" spans="1:29" ht="16.2" thickBot="1" x14ac:dyDescent="0.35">
      <c r="A16" s="22"/>
      <c r="B16" s="22"/>
      <c r="C16" s="22"/>
      <c r="D16" s="22"/>
      <c r="E16" s="22"/>
      <c r="F16" s="23" t="s">
        <v>25</v>
      </c>
      <c r="G16" s="23">
        <f>+(G3-F3)+(J3-I3)</f>
        <v>0.24652777777777773</v>
      </c>
      <c r="H16" s="23"/>
      <c r="I16" s="28"/>
      <c r="J16" s="28"/>
      <c r="K16" s="58"/>
    </row>
    <row r="17" spans="1:20" ht="16.2" thickBot="1" x14ac:dyDescent="0.35">
      <c r="A17" s="22"/>
      <c r="B17" s="22"/>
      <c r="C17" s="22"/>
      <c r="D17" s="22"/>
      <c r="E17" s="22"/>
      <c r="F17" s="23" t="s">
        <v>26</v>
      </c>
      <c r="G17" s="23">
        <f>+(G4-F4)+(J4-I4)</f>
        <v>0.25486111111111109</v>
      </c>
      <c r="H17" s="23"/>
      <c r="I17" s="28"/>
      <c r="J17" s="28"/>
      <c r="K17" s="58"/>
    </row>
    <row r="18" spans="1:20" ht="16.2" thickBot="1" x14ac:dyDescent="0.35">
      <c r="A18" s="22"/>
      <c r="B18" s="22"/>
      <c r="C18" s="22"/>
      <c r="D18" s="22"/>
      <c r="E18" s="22"/>
      <c r="F18" s="23" t="s">
        <v>27</v>
      </c>
      <c r="G18" s="23">
        <f>+(G5-F5)+(J5-I5)</f>
        <v>0.24791666666666651</v>
      </c>
      <c r="H18" s="23"/>
      <c r="I18" s="28"/>
      <c r="J18" s="28"/>
      <c r="K18" s="58"/>
    </row>
    <row r="19" spans="1:20" ht="16.2" thickBot="1" x14ac:dyDescent="0.35">
      <c r="A19" s="22"/>
      <c r="B19" s="22"/>
      <c r="C19" s="22"/>
      <c r="D19" s="22"/>
      <c r="E19" s="22"/>
      <c r="F19" s="23" t="s">
        <v>28</v>
      </c>
      <c r="G19" s="23">
        <f>+(G6-F6)+(J6-I6)</f>
        <v>0.24791666666666651</v>
      </c>
      <c r="H19" s="23"/>
      <c r="I19" s="28"/>
      <c r="J19" s="28"/>
      <c r="K19" s="58"/>
    </row>
    <row r="20" spans="1:20" ht="16.2" thickBot="1" x14ac:dyDescent="0.35">
      <c r="A20" s="22"/>
      <c r="B20" s="22"/>
      <c r="C20" s="22"/>
      <c r="D20" s="22"/>
      <c r="E20" s="22"/>
      <c r="F20" s="23" t="s">
        <v>50</v>
      </c>
      <c r="G20" s="23">
        <f>+(G7-F7)+(J7-I7)</f>
        <v>0.2416666666666667</v>
      </c>
      <c r="H20" s="23"/>
      <c r="I20" s="28"/>
      <c r="J20" s="28"/>
      <c r="K20" s="58"/>
    </row>
    <row r="21" spans="1:20" ht="20.25" customHeight="1" thickBot="1" x14ac:dyDescent="0.35">
      <c r="A21" s="22"/>
      <c r="B21" s="22"/>
      <c r="C21" s="22"/>
      <c r="D21" s="22"/>
      <c r="E21" s="22"/>
      <c r="F21" s="30" t="s">
        <v>40</v>
      </c>
      <c r="G21" s="30">
        <f>+AVERAGEIF(G16:G20, "&lt;&gt; 0")</f>
        <v>0.24777777777777774</v>
      </c>
      <c r="H21" s="30"/>
      <c r="I21" s="28"/>
      <c r="J21" s="28"/>
      <c r="K21" s="58"/>
    </row>
    <row r="22" spans="1:20" ht="16.2" thickBot="1" x14ac:dyDescent="0.35">
      <c r="A22" s="22"/>
      <c r="B22" s="22"/>
      <c r="C22" s="22"/>
      <c r="D22" s="22"/>
      <c r="E22" s="22"/>
      <c r="F22" s="25" t="s">
        <v>0</v>
      </c>
      <c r="G22" s="25">
        <v>0.25</v>
      </c>
      <c r="H22" s="25"/>
      <c r="I22" s="28"/>
      <c r="J22" s="28"/>
    </row>
    <row r="23" spans="1:20" ht="16.2" thickBot="1" x14ac:dyDescent="0.35">
      <c r="A23" s="41"/>
      <c r="B23" s="41"/>
      <c r="C23" s="42"/>
      <c r="D23" s="43"/>
      <c r="E23" s="43"/>
      <c r="F23" s="30" t="s">
        <v>41</v>
      </c>
      <c r="G23" s="44">
        <f>G21/G22</f>
        <v>0.99111111111111094</v>
      </c>
      <c r="H23" s="44"/>
      <c r="I23" s="43"/>
      <c r="J23" s="28"/>
    </row>
    <row r="24" spans="1:20" x14ac:dyDescent="0.3">
      <c r="E24" s="3"/>
      <c r="F24" s="3"/>
      <c r="I24" s="28"/>
      <c r="J24" s="28"/>
    </row>
    <row r="25" spans="1:20" x14ac:dyDescent="0.3">
      <c r="T25" s="3"/>
    </row>
    <row r="26" spans="1:20" x14ac:dyDescent="0.3">
      <c r="T26" s="3"/>
    </row>
    <row r="27" spans="1:20" ht="15.6" customHeight="1" x14ac:dyDescent="0.3">
      <c r="I27" s="181" t="s">
        <v>105</v>
      </c>
      <c r="J27" s="182" t="s">
        <v>103</v>
      </c>
      <c r="T27" s="3"/>
    </row>
    <row r="28" spans="1:20" ht="15.6" customHeight="1" x14ac:dyDescent="0.3">
      <c r="I28" s="181"/>
      <c r="J28" s="183"/>
      <c r="T28" s="3"/>
    </row>
    <row r="29" spans="1:20" ht="15.6" customHeight="1" x14ac:dyDescent="0.3">
      <c r="I29" s="181"/>
      <c r="J29" s="183"/>
      <c r="T29" s="3"/>
    </row>
    <row r="30" spans="1:20" ht="15.6" customHeight="1" x14ac:dyDescent="0.3">
      <c r="I30" s="181"/>
      <c r="J30" s="184"/>
      <c r="T30" s="3"/>
    </row>
    <row r="31" spans="1:20" x14ac:dyDescent="0.3">
      <c r="T31" s="3"/>
    </row>
    <row r="32" spans="1:20" x14ac:dyDescent="0.3">
      <c r="T32" s="3"/>
    </row>
    <row r="33" spans="11:20" ht="15.6" customHeight="1" x14ac:dyDescent="0.3">
      <c r="T33" s="3"/>
    </row>
    <row r="34" spans="11:20" x14ac:dyDescent="0.3">
      <c r="K34" s="84"/>
      <c r="T34" s="3"/>
    </row>
    <row r="35" spans="11:20" x14ac:dyDescent="0.3">
      <c r="T35" s="3"/>
    </row>
    <row r="36" spans="11:20" x14ac:dyDescent="0.3">
      <c r="T36" s="3"/>
    </row>
    <row r="37" spans="11:20" x14ac:dyDescent="0.3">
      <c r="T37" s="3"/>
    </row>
    <row r="38" spans="11:20" x14ac:dyDescent="0.3">
      <c r="T38" s="3"/>
    </row>
    <row r="39" spans="11:20" x14ac:dyDescent="0.3">
      <c r="T39" s="3"/>
    </row>
    <row r="40" spans="11:20" x14ac:dyDescent="0.3">
      <c r="T40" s="3"/>
    </row>
    <row r="41" spans="11:20" x14ac:dyDescent="0.3">
      <c r="T41" s="3"/>
    </row>
    <row r="42" spans="11:20" x14ac:dyDescent="0.3">
      <c r="T42" s="3"/>
    </row>
    <row r="43" spans="11:20" x14ac:dyDescent="0.3">
      <c r="T43" s="3"/>
    </row>
    <row r="44" spans="11:20" x14ac:dyDescent="0.3">
      <c r="T44" s="3"/>
    </row>
    <row r="45" spans="11:20" x14ac:dyDescent="0.3">
      <c r="T45" s="3"/>
    </row>
    <row r="46" spans="11:20" x14ac:dyDescent="0.3">
      <c r="T46" s="3"/>
    </row>
    <row r="47" spans="11:20" x14ac:dyDescent="0.3">
      <c r="T47" s="3"/>
    </row>
    <row r="48" spans="11:20" x14ac:dyDescent="0.3">
      <c r="T48" s="3"/>
    </row>
    <row r="49" spans="20:20" x14ac:dyDescent="0.3">
      <c r="T49" s="3"/>
    </row>
    <row r="50" spans="20:20" x14ac:dyDescent="0.3">
      <c r="T50" s="3"/>
    </row>
    <row r="51" spans="20:20" x14ac:dyDescent="0.3">
      <c r="T51" s="3"/>
    </row>
    <row r="52" spans="20:20" x14ac:dyDescent="0.3">
      <c r="T52" s="3"/>
    </row>
    <row r="53" spans="20:20" x14ac:dyDescent="0.3">
      <c r="T53" s="3"/>
    </row>
    <row r="54" spans="20:20" x14ac:dyDescent="0.3">
      <c r="T54" s="3"/>
    </row>
    <row r="55" spans="20:20" x14ac:dyDescent="0.3">
      <c r="T55" s="3"/>
    </row>
    <row r="56" spans="20:20" x14ac:dyDescent="0.3">
      <c r="T56" s="3"/>
    </row>
    <row r="57" spans="20:20" x14ac:dyDescent="0.3">
      <c r="T57" s="3"/>
    </row>
  </sheetData>
  <mergeCells count="2">
    <mergeCell ref="I27:I30"/>
    <mergeCell ref="J27:J30"/>
  </mergeCells>
  <pageMargins left="0.7" right="0.7" top="0.75" bottom="0.75" header="0.3" footer="0.3"/>
  <drawing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7"/>
  <sheetViews>
    <sheetView zoomScale="60" zoomScaleNormal="60" workbookViewId="0">
      <selection activeCell="F4" sqref="F4"/>
    </sheetView>
  </sheetViews>
  <sheetFormatPr baseColWidth="10" defaultRowHeight="15.6" x14ac:dyDescent="0.3"/>
  <cols>
    <col min="6" max="6" width="18.19921875" customWidth="1"/>
    <col min="7" max="7" width="13.5" customWidth="1"/>
    <col min="11" max="11" width="25.8984375" customWidth="1"/>
    <col min="20" max="20" width="13.8984375" bestFit="1" customWidth="1"/>
  </cols>
  <sheetData>
    <row r="1" spans="1:29" x14ac:dyDescent="0.3">
      <c r="C1" s="31" t="s">
        <v>0</v>
      </c>
      <c r="D1" s="32">
        <v>0.33333333333333331</v>
      </c>
      <c r="E1" s="32">
        <v>0.35416666666666669</v>
      </c>
      <c r="F1" s="32">
        <v>0.375</v>
      </c>
      <c r="G1" s="32">
        <v>0.59375</v>
      </c>
      <c r="H1" s="32">
        <v>0.61458333333333337</v>
      </c>
      <c r="I1" s="32">
        <v>0.63541666666666663</v>
      </c>
      <c r="J1" s="32">
        <v>0.66666666666666663</v>
      </c>
    </row>
    <row r="2" spans="1:29" ht="62.4" x14ac:dyDescent="0.3">
      <c r="A2" s="13" t="s">
        <v>13</v>
      </c>
      <c r="B2" s="27" t="s">
        <v>39</v>
      </c>
      <c r="C2" s="14" t="s">
        <v>9</v>
      </c>
      <c r="D2" s="15" t="s">
        <v>1</v>
      </c>
      <c r="E2" s="15" t="s">
        <v>20</v>
      </c>
      <c r="F2" s="16" t="s">
        <v>42</v>
      </c>
      <c r="G2" s="16" t="s">
        <v>43</v>
      </c>
      <c r="H2" s="16" t="s">
        <v>21</v>
      </c>
      <c r="I2" s="17" t="s">
        <v>44</v>
      </c>
      <c r="J2" s="16" t="s">
        <v>45</v>
      </c>
      <c r="K2" s="35" t="s">
        <v>36</v>
      </c>
      <c r="M2" s="1" t="s">
        <v>11</v>
      </c>
      <c r="N2" s="1" t="s">
        <v>14</v>
      </c>
      <c r="O2" s="1" t="s">
        <v>12</v>
      </c>
      <c r="P2" s="8" t="s">
        <v>10</v>
      </c>
      <c r="Q2" s="6" t="s">
        <v>35</v>
      </c>
      <c r="R2" s="9" t="s">
        <v>34</v>
      </c>
      <c r="S2" s="6" t="s">
        <v>23</v>
      </c>
      <c r="T2" s="16" t="s">
        <v>53</v>
      </c>
      <c r="U2" s="6" t="s">
        <v>19</v>
      </c>
      <c r="V2" s="21" t="s">
        <v>22</v>
      </c>
      <c r="W2" s="19" t="s">
        <v>30</v>
      </c>
      <c r="X2" s="20" t="s">
        <v>31</v>
      </c>
      <c r="Y2" s="20" t="s">
        <v>32</v>
      </c>
      <c r="Z2" s="20" t="s">
        <v>33</v>
      </c>
      <c r="AA2" s="19" t="s">
        <v>46</v>
      </c>
      <c r="AB2" s="19" t="s">
        <v>47</v>
      </c>
      <c r="AC2" s="19" t="s">
        <v>48</v>
      </c>
    </row>
    <row r="3" spans="1:29" x14ac:dyDescent="0.3">
      <c r="A3" s="12" t="s">
        <v>99</v>
      </c>
      <c r="B3" s="12" t="s">
        <v>37</v>
      </c>
      <c r="C3" s="4">
        <f>+Tabla5[[#This Row],[FECHA]]</f>
        <v>44907</v>
      </c>
      <c r="D3" s="37">
        <v>0.3125</v>
      </c>
      <c r="E3" s="37">
        <v>0.3298611111111111</v>
      </c>
      <c r="F3" s="37">
        <v>0.35347222222222219</v>
      </c>
      <c r="G3" s="37">
        <v>0.58333333333333337</v>
      </c>
      <c r="H3" s="37">
        <v>0.59027777777777779</v>
      </c>
      <c r="I3" s="37">
        <v>0.61458333333333337</v>
      </c>
      <c r="J3" s="46">
        <v>0.65625</v>
      </c>
      <c r="K3" s="47"/>
      <c r="L3" s="53"/>
      <c r="M3" s="53"/>
      <c r="N3" s="57" t="s">
        <v>15</v>
      </c>
      <c r="O3" s="4">
        <f>Tabla5383940414243444546[[#This Row],[FECHA]]</f>
        <v>44907</v>
      </c>
      <c r="P3" s="7">
        <f>D3</f>
        <v>0.3125</v>
      </c>
      <c r="Q3" s="7">
        <f>E3-D3</f>
        <v>1.7361111111111105E-2</v>
      </c>
      <c r="R3" s="7">
        <f>F3-E3</f>
        <v>2.3611111111111083E-2</v>
      </c>
      <c r="S3" s="7">
        <f>G3-F3</f>
        <v>0.22986111111111118</v>
      </c>
      <c r="T3" s="7">
        <f>+Tabla5383940414243444546[[#This Row],[ALMUERZO]]-Tabla5383940414243444546[[#This Row],[TERMINO ACT. AM]]</f>
        <v>6.9444444444444198E-3</v>
      </c>
      <c r="U3" s="7">
        <f>+Tabla5383940414243444546[[#This Row],[INICIO ACTIVIDADES PM]]-Tabla5383940414243444546[[#This Row],[ALMUERZO]]</f>
        <v>2.430555555555558E-2</v>
      </c>
      <c r="V3" s="7">
        <f>+Tabla5383940414243444546[[#This Row],[TERMINO ACTIVIDADES PM]]-Tabla5383940414243444546[[#This Row],[INICIO ACTIVIDADES PM]]</f>
        <v>4.166666666666663E-2</v>
      </c>
      <c r="W3" s="3">
        <f>+$D$1</f>
        <v>0.33333333333333331</v>
      </c>
      <c r="X3" s="3">
        <f>+$E$1</f>
        <v>0.35416666666666669</v>
      </c>
      <c r="Y3" s="3">
        <f>+$F$1</f>
        <v>0.375</v>
      </c>
      <c r="Z3" s="3">
        <f>+$G$1</f>
        <v>0.59375</v>
      </c>
      <c r="AA3" s="3">
        <f>+$H$1</f>
        <v>0.61458333333333337</v>
      </c>
      <c r="AB3" s="3">
        <f>+$I$1</f>
        <v>0.63541666666666663</v>
      </c>
      <c r="AC3" s="3">
        <f>+$J$1</f>
        <v>0.66666666666666663</v>
      </c>
    </row>
    <row r="4" spans="1:29" x14ac:dyDescent="0.3">
      <c r="A4" s="12" t="s">
        <v>99</v>
      </c>
      <c r="B4" s="12" t="s">
        <v>26</v>
      </c>
      <c r="C4" s="4">
        <f>+Tabla5[[#This Row],[FECHA]]</f>
        <v>44908</v>
      </c>
      <c r="D4" s="37">
        <v>0.31597222222222221</v>
      </c>
      <c r="E4" s="37">
        <v>0.33333333333333331</v>
      </c>
      <c r="F4" s="37">
        <v>0.3576388888888889</v>
      </c>
      <c r="G4" s="37">
        <v>0.52430555555555558</v>
      </c>
      <c r="H4" s="37">
        <v>0.53125</v>
      </c>
      <c r="I4" s="37">
        <v>0.55902777777777779</v>
      </c>
      <c r="J4" s="46">
        <v>0.65625</v>
      </c>
      <c r="K4" s="47"/>
      <c r="M4" s="5"/>
      <c r="N4" s="5" t="s">
        <v>16</v>
      </c>
      <c r="O4" s="4">
        <f>Tabla5383940414243444546[[#This Row],[FECHA]]</f>
        <v>44908</v>
      </c>
      <c r="P4" s="7">
        <f>D4</f>
        <v>0.31597222222222221</v>
      </c>
      <c r="Q4" s="7">
        <f t="shared" ref="Q4:S7" si="0">E4-D4</f>
        <v>1.7361111111111105E-2</v>
      </c>
      <c r="R4" s="7">
        <f t="shared" si="0"/>
        <v>2.430555555555558E-2</v>
      </c>
      <c r="S4" s="7">
        <f t="shared" si="0"/>
        <v>0.16666666666666669</v>
      </c>
      <c r="T4" s="7">
        <f>+Tabla5383940414243444546[[#This Row],[ALMUERZO]]-Tabla5383940414243444546[[#This Row],[TERMINO ACT. AM]]</f>
        <v>6.9444444444444198E-3</v>
      </c>
      <c r="U4" s="7">
        <f>+Tabla5383940414243444546[[#This Row],[INICIO ACTIVIDADES PM]]-Tabla5383940414243444546[[#This Row],[ALMUERZO]]</f>
        <v>2.777777777777779E-2</v>
      </c>
      <c r="V4" s="7">
        <f>+Tabla5383940414243444546[[#This Row],[TERMINO ACTIVIDADES PM]]-Tabla5383940414243444546[[#This Row],[INICIO ACTIVIDADES PM]]</f>
        <v>9.722222222222221E-2</v>
      </c>
      <c r="W4" s="3">
        <f t="shared" ref="W4:W7" si="1">+$D$1</f>
        <v>0.33333333333333331</v>
      </c>
      <c r="X4" s="3">
        <f t="shared" ref="X4:X7" si="2">+$E$1</f>
        <v>0.35416666666666669</v>
      </c>
      <c r="Y4" s="3">
        <f t="shared" ref="Y4:Y7" si="3">+$F$1</f>
        <v>0.375</v>
      </c>
      <c r="Z4" s="3">
        <f t="shared" ref="Z4:Z7" si="4">+$G$1</f>
        <v>0.59375</v>
      </c>
      <c r="AA4" s="3">
        <f t="shared" ref="AA4:AA7" si="5">+$H$1</f>
        <v>0.61458333333333337</v>
      </c>
      <c r="AB4" s="3">
        <f t="shared" ref="AB4:AB7" si="6">+$I$1</f>
        <v>0.63541666666666663</v>
      </c>
      <c r="AC4" s="3">
        <f t="shared" ref="AC4:AC7" si="7">+$J$1</f>
        <v>0.66666666666666663</v>
      </c>
    </row>
    <row r="5" spans="1:29" x14ac:dyDescent="0.3">
      <c r="A5" s="12" t="s">
        <v>99</v>
      </c>
      <c r="B5" s="12" t="s">
        <v>27</v>
      </c>
      <c r="C5" s="4">
        <f>+Tabla5[[#This Row],[FECHA]]</f>
        <v>44909</v>
      </c>
      <c r="D5" s="37">
        <v>0.30902777777777779</v>
      </c>
      <c r="E5" s="37">
        <v>0.3263888888888889</v>
      </c>
      <c r="F5" s="37">
        <v>0.35069444444444442</v>
      </c>
      <c r="G5" s="37">
        <v>0.51736111111111105</v>
      </c>
      <c r="H5" s="37">
        <v>0.52430555555555558</v>
      </c>
      <c r="I5" s="37">
        <v>0.55208333333333337</v>
      </c>
      <c r="J5" s="46">
        <v>0.65625</v>
      </c>
      <c r="K5" s="47"/>
      <c r="M5" s="5"/>
      <c r="N5" s="5" t="s">
        <v>16</v>
      </c>
      <c r="O5" s="4">
        <f>Tabla5383940414243444546[[#This Row],[FECHA]]</f>
        <v>44909</v>
      </c>
      <c r="P5" s="7">
        <f>D5</f>
        <v>0.30902777777777779</v>
      </c>
      <c r="Q5" s="7">
        <f t="shared" si="0"/>
        <v>1.7361111111111105E-2</v>
      </c>
      <c r="R5" s="7">
        <f t="shared" si="0"/>
        <v>2.4305555555555525E-2</v>
      </c>
      <c r="S5" s="7">
        <f t="shared" si="0"/>
        <v>0.16666666666666663</v>
      </c>
      <c r="T5" s="7">
        <f>+Tabla5383940414243444546[[#This Row],[ALMUERZO]]-Tabla5383940414243444546[[#This Row],[TERMINO ACT. AM]]</f>
        <v>6.9444444444445308E-3</v>
      </c>
      <c r="U5" s="7">
        <f>+Tabla5383940414243444546[[#This Row],[INICIO ACTIVIDADES PM]]-Tabla5383940414243444546[[#This Row],[ALMUERZO]]</f>
        <v>2.777777777777779E-2</v>
      </c>
      <c r="V5" s="7">
        <f>+Tabla5383940414243444546[[#This Row],[TERMINO ACTIVIDADES PM]]-Tabla5383940414243444546[[#This Row],[INICIO ACTIVIDADES PM]]</f>
        <v>0.10416666666666663</v>
      </c>
      <c r="W5" s="3">
        <f t="shared" si="1"/>
        <v>0.33333333333333331</v>
      </c>
      <c r="X5" s="3">
        <f t="shared" si="2"/>
        <v>0.35416666666666669</v>
      </c>
      <c r="Y5" s="3">
        <f t="shared" si="3"/>
        <v>0.375</v>
      </c>
      <c r="Z5" s="3">
        <f t="shared" si="4"/>
        <v>0.59375</v>
      </c>
      <c r="AA5" s="3">
        <f t="shared" si="5"/>
        <v>0.61458333333333337</v>
      </c>
      <c r="AB5" s="3">
        <f t="shared" si="6"/>
        <v>0.63541666666666663</v>
      </c>
      <c r="AC5" s="3">
        <f t="shared" si="7"/>
        <v>0.66666666666666663</v>
      </c>
    </row>
    <row r="6" spans="1:29" x14ac:dyDescent="0.3">
      <c r="A6" s="12" t="s">
        <v>99</v>
      </c>
      <c r="B6" s="12" t="s">
        <v>28</v>
      </c>
      <c r="C6" s="4">
        <f>+Tabla5[[#This Row],[FECHA]]</f>
        <v>44910</v>
      </c>
      <c r="D6" s="37">
        <v>0.30902777777777779</v>
      </c>
      <c r="E6" s="37">
        <v>0.32430555555555557</v>
      </c>
      <c r="F6" s="37">
        <v>0.35069444444444442</v>
      </c>
      <c r="G6" s="37">
        <v>0.56944444444444442</v>
      </c>
      <c r="H6" s="37">
        <v>0.57986111111111105</v>
      </c>
      <c r="I6" s="37">
        <v>0.60763888888888895</v>
      </c>
      <c r="J6" s="46">
        <v>0.65972222222222221</v>
      </c>
      <c r="K6" s="47"/>
      <c r="M6" s="5"/>
      <c r="N6" s="5" t="s">
        <v>17</v>
      </c>
      <c r="O6" s="4">
        <f>Tabla5383940414243444546[[#This Row],[FECHA]]</f>
        <v>44910</v>
      </c>
      <c r="P6" s="7">
        <f>D6</f>
        <v>0.30902777777777779</v>
      </c>
      <c r="Q6" s="7">
        <f t="shared" si="0"/>
        <v>1.5277777777777779E-2</v>
      </c>
      <c r="R6" s="7">
        <f t="shared" si="0"/>
        <v>2.6388888888888851E-2</v>
      </c>
      <c r="S6" s="7">
        <f t="shared" si="0"/>
        <v>0.21875</v>
      </c>
      <c r="T6" s="7">
        <f>+Tabla5383940414243444546[[#This Row],[ALMUERZO]]-Tabla5383940414243444546[[#This Row],[TERMINO ACT. AM]]</f>
        <v>1.041666666666663E-2</v>
      </c>
      <c r="U6" s="7">
        <f>+Tabla5383940414243444546[[#This Row],[INICIO ACTIVIDADES PM]]-Tabla5383940414243444546[[#This Row],[ALMUERZO]]</f>
        <v>2.7777777777777901E-2</v>
      </c>
      <c r="V6" s="7">
        <f>+Tabla5383940414243444546[[#This Row],[TERMINO ACTIVIDADES PM]]-Tabla5383940414243444546[[#This Row],[INICIO ACTIVIDADES PM]]</f>
        <v>5.2083333333333259E-2</v>
      </c>
      <c r="W6" s="3">
        <f t="shared" si="1"/>
        <v>0.33333333333333331</v>
      </c>
      <c r="X6" s="3">
        <f t="shared" si="2"/>
        <v>0.35416666666666669</v>
      </c>
      <c r="Y6" s="3">
        <f t="shared" si="3"/>
        <v>0.375</v>
      </c>
      <c r="Z6" s="3">
        <f t="shared" si="4"/>
        <v>0.59375</v>
      </c>
      <c r="AA6" s="3">
        <f t="shared" si="5"/>
        <v>0.61458333333333337</v>
      </c>
      <c r="AB6" s="3">
        <f t="shared" si="6"/>
        <v>0.63541666666666663</v>
      </c>
      <c r="AC6" s="3">
        <f t="shared" si="7"/>
        <v>0.66666666666666663</v>
      </c>
    </row>
    <row r="7" spans="1:29" x14ac:dyDescent="0.3">
      <c r="A7" s="12" t="s">
        <v>99</v>
      </c>
      <c r="B7" s="12" t="s">
        <v>38</v>
      </c>
      <c r="C7" s="4">
        <f>+Tabla5[[#This Row],[FECHA]]</f>
        <v>44911</v>
      </c>
      <c r="D7" s="37">
        <v>0.31111111111111112</v>
      </c>
      <c r="E7" s="37">
        <v>0.32361111111111113</v>
      </c>
      <c r="F7" s="37">
        <v>0.3520833333333333</v>
      </c>
      <c r="G7" s="37">
        <v>0.54513888888888895</v>
      </c>
      <c r="H7" s="37">
        <v>0.55208333333333337</v>
      </c>
      <c r="I7" s="37">
        <v>0.57638888888888895</v>
      </c>
      <c r="J7" s="46">
        <v>0.65972222222222221</v>
      </c>
      <c r="K7" s="81"/>
      <c r="M7" s="5"/>
      <c r="N7" s="5" t="s">
        <v>18</v>
      </c>
      <c r="O7" s="4">
        <f>Tabla5383940414243444546[[#This Row],[FECHA]]</f>
        <v>44911</v>
      </c>
      <c r="P7" s="7">
        <f>D7</f>
        <v>0.31111111111111112</v>
      </c>
      <c r="Q7" s="7">
        <f t="shared" si="0"/>
        <v>1.2500000000000011E-2</v>
      </c>
      <c r="R7" s="7">
        <f t="shared" si="0"/>
        <v>2.8472222222222177E-2</v>
      </c>
      <c r="S7" s="7">
        <f t="shared" si="0"/>
        <v>0.19305555555555565</v>
      </c>
      <c r="T7" s="7">
        <f>+Tabla5383940414243444546[[#This Row],[ALMUERZO]]-Tabla5383940414243444546[[#This Row],[TERMINO ACT. AM]]</f>
        <v>6.9444444444444198E-3</v>
      </c>
      <c r="U7" s="7">
        <f>+Tabla5383940414243444546[[#This Row],[INICIO ACTIVIDADES PM]]-Tabla5383940414243444546[[#This Row],[ALMUERZO]]</f>
        <v>2.430555555555558E-2</v>
      </c>
      <c r="V7" s="7">
        <f>+Tabla5383940414243444546[[#This Row],[TERMINO ACTIVIDADES PM]]-Tabla5383940414243444546[[#This Row],[INICIO ACTIVIDADES PM]]</f>
        <v>8.3333333333333259E-2</v>
      </c>
      <c r="W7" s="3">
        <f t="shared" si="1"/>
        <v>0.33333333333333331</v>
      </c>
      <c r="X7" s="3">
        <f t="shared" si="2"/>
        <v>0.35416666666666669</v>
      </c>
      <c r="Y7" s="3">
        <f t="shared" si="3"/>
        <v>0.375</v>
      </c>
      <c r="Z7" s="3">
        <f t="shared" si="4"/>
        <v>0.59375</v>
      </c>
      <c r="AA7" s="3">
        <f t="shared" si="5"/>
        <v>0.61458333333333337</v>
      </c>
      <c r="AB7" s="3">
        <f t="shared" si="6"/>
        <v>0.63541666666666663</v>
      </c>
      <c r="AC7" s="3">
        <f t="shared" si="7"/>
        <v>0.66666666666666663</v>
      </c>
    </row>
    <row r="8" spans="1:29" x14ac:dyDescent="0.3">
      <c r="A8" s="11"/>
      <c r="B8" s="11"/>
      <c r="C8" s="4"/>
      <c r="D8" s="39"/>
      <c r="E8" s="56"/>
      <c r="F8" s="56"/>
      <c r="G8" s="56"/>
      <c r="H8" s="56"/>
      <c r="I8" s="56"/>
      <c r="J8" s="56"/>
      <c r="K8" s="38"/>
      <c r="M8" s="5"/>
      <c r="N8" s="5"/>
      <c r="O8" s="4"/>
      <c r="P8" s="7"/>
      <c r="Q8" s="7"/>
      <c r="R8" s="7"/>
      <c r="S8" s="7"/>
      <c r="T8" s="7"/>
      <c r="U8" s="7"/>
      <c r="V8" s="7"/>
      <c r="W8" s="3"/>
      <c r="X8" s="3"/>
      <c r="Y8" s="3"/>
      <c r="Z8" s="3"/>
      <c r="AA8" s="3"/>
      <c r="AB8" s="3"/>
      <c r="AC8" s="3"/>
    </row>
    <row r="9" spans="1:29" x14ac:dyDescent="0.3">
      <c r="A9" s="11"/>
      <c r="B9" s="11"/>
      <c r="C9" s="37"/>
      <c r="D9" s="37"/>
      <c r="E9" s="37"/>
      <c r="F9" s="37"/>
      <c r="G9" s="37"/>
      <c r="H9" s="37"/>
      <c r="I9" s="46"/>
      <c r="J9" s="11"/>
      <c r="K9" s="38"/>
      <c r="M9" s="5">
        <f>Tabla5383940414243444546[[#This Row],[Columna1]]</f>
        <v>0</v>
      </c>
      <c r="N9" s="5"/>
      <c r="O9" s="4"/>
      <c r="P9" s="7"/>
      <c r="Z9" s="3"/>
      <c r="AA9" s="3"/>
      <c r="AB9" s="3"/>
      <c r="AC9" s="3"/>
    </row>
    <row r="10" spans="1:29" x14ac:dyDescent="0.3">
      <c r="A10" s="40"/>
      <c r="B10" s="40"/>
      <c r="C10" s="37"/>
      <c r="D10" s="37"/>
      <c r="E10" s="37"/>
      <c r="F10" s="37"/>
      <c r="G10" s="37"/>
      <c r="H10" s="37"/>
      <c r="I10" s="46"/>
      <c r="J10" s="40"/>
      <c r="K10" s="38"/>
      <c r="M10" s="18"/>
      <c r="N10" s="5"/>
      <c r="O10" s="4"/>
      <c r="P10" s="7"/>
      <c r="Z10" s="3"/>
      <c r="AA10" s="3"/>
      <c r="AB10" s="3"/>
      <c r="AC10" s="3"/>
    </row>
    <row r="11" spans="1:29" x14ac:dyDescent="0.3">
      <c r="A11" s="40"/>
      <c r="B11" s="40"/>
      <c r="C11" s="37"/>
      <c r="D11" s="37"/>
      <c r="E11" s="37"/>
      <c r="F11" s="37"/>
      <c r="G11" s="37"/>
      <c r="H11" s="37"/>
      <c r="I11" s="46"/>
      <c r="J11" s="40"/>
      <c r="K11" s="38"/>
      <c r="M11" s="5"/>
      <c r="N11" s="5"/>
      <c r="O11" s="4"/>
      <c r="P11" s="7"/>
      <c r="Z11" s="3"/>
      <c r="AA11" s="3"/>
      <c r="AB11" s="3"/>
      <c r="AC11" s="3"/>
    </row>
    <row r="12" spans="1:29" x14ac:dyDescent="0.3">
      <c r="A12" s="11"/>
      <c r="B12" s="11"/>
      <c r="C12" s="37"/>
      <c r="D12" s="37"/>
      <c r="E12" s="37"/>
      <c r="F12" s="37"/>
      <c r="G12" s="37"/>
      <c r="H12" s="37"/>
      <c r="I12" s="46"/>
      <c r="J12" s="11"/>
      <c r="K12" s="38"/>
      <c r="M12" s="5"/>
      <c r="N12" s="5"/>
      <c r="O12" s="4"/>
      <c r="P12" s="7"/>
      <c r="Z12" s="3"/>
      <c r="AA12" s="3"/>
      <c r="AB12" s="3"/>
      <c r="AC12" s="3"/>
    </row>
    <row r="13" spans="1:29" ht="16.2" thickBot="1" x14ac:dyDescent="0.35">
      <c r="A13" s="12"/>
      <c r="B13" s="12"/>
      <c r="C13" s="37"/>
      <c r="D13" s="37"/>
      <c r="E13" s="37"/>
      <c r="F13" s="37"/>
      <c r="G13" s="37"/>
      <c r="H13" s="37"/>
      <c r="I13" s="46"/>
      <c r="J13" s="10"/>
      <c r="K13" s="56"/>
      <c r="M13" s="5"/>
      <c r="N13" s="5"/>
      <c r="O13" s="4"/>
      <c r="P13" s="7"/>
      <c r="Z13" s="3"/>
      <c r="AA13" s="3"/>
      <c r="AB13" s="3"/>
      <c r="AC13" s="3"/>
    </row>
    <row r="14" spans="1:29" ht="16.2" thickBot="1" x14ac:dyDescent="0.35">
      <c r="A14" s="22"/>
      <c r="B14" s="22"/>
      <c r="C14" s="22"/>
      <c r="D14" s="22"/>
      <c r="E14" s="22"/>
      <c r="F14" s="23"/>
      <c r="G14" s="24" t="s">
        <v>24</v>
      </c>
      <c r="H14" s="24"/>
      <c r="I14" s="28"/>
      <c r="J14" s="28"/>
      <c r="K14" s="56"/>
      <c r="M14" s="5"/>
      <c r="N14" s="5"/>
      <c r="O14" s="4"/>
      <c r="P14" s="7"/>
      <c r="Z14" s="3"/>
      <c r="AA14" s="3"/>
      <c r="AB14" s="3"/>
      <c r="AC14" s="3"/>
    </row>
    <row r="15" spans="1:29" ht="16.2" thickBot="1" x14ac:dyDescent="0.35">
      <c r="A15" s="22"/>
      <c r="B15" s="22"/>
      <c r="C15" s="22"/>
      <c r="D15" s="22"/>
      <c r="E15" s="22"/>
      <c r="F15" s="26" t="s">
        <v>29</v>
      </c>
      <c r="G15" s="26" t="s">
        <v>88</v>
      </c>
      <c r="H15" s="26"/>
      <c r="I15" s="28"/>
      <c r="J15" s="28"/>
      <c r="K15" s="56"/>
    </row>
    <row r="16" spans="1:29" ht="16.2" thickBot="1" x14ac:dyDescent="0.35">
      <c r="A16" s="22"/>
      <c r="B16" s="22"/>
      <c r="C16" s="22"/>
      <c r="D16" s="22"/>
      <c r="E16" s="22"/>
      <c r="F16" s="23" t="s">
        <v>25</v>
      </c>
      <c r="G16" s="23">
        <f>+(G3-F3)+(J3-I3)</f>
        <v>0.27152777777777781</v>
      </c>
      <c r="H16" s="23"/>
      <c r="I16" s="28"/>
      <c r="J16" s="28"/>
      <c r="K16" s="58"/>
    </row>
    <row r="17" spans="1:20" ht="16.2" thickBot="1" x14ac:dyDescent="0.35">
      <c r="A17" s="22"/>
      <c r="B17" s="22"/>
      <c r="C17" s="22"/>
      <c r="D17" s="22"/>
      <c r="E17" s="22"/>
      <c r="F17" s="23" t="s">
        <v>26</v>
      </c>
      <c r="G17" s="23">
        <f>+(G4-F4)+(J4-I4)</f>
        <v>0.2638888888888889</v>
      </c>
      <c r="H17" s="23"/>
      <c r="I17" s="28"/>
      <c r="J17" s="28"/>
      <c r="K17" s="58"/>
    </row>
    <row r="18" spans="1:20" ht="16.2" thickBot="1" x14ac:dyDescent="0.35">
      <c r="A18" s="22"/>
      <c r="B18" s="22"/>
      <c r="C18" s="22"/>
      <c r="D18" s="22"/>
      <c r="E18" s="22"/>
      <c r="F18" s="23" t="s">
        <v>27</v>
      </c>
      <c r="G18" s="23">
        <f>+(G5-F5)+(J5-I5)</f>
        <v>0.27083333333333326</v>
      </c>
      <c r="H18" s="23"/>
      <c r="I18" s="28"/>
      <c r="J18" s="28"/>
      <c r="K18" s="58"/>
    </row>
    <row r="19" spans="1:20" ht="16.2" thickBot="1" x14ac:dyDescent="0.35">
      <c r="A19" s="22"/>
      <c r="B19" s="22"/>
      <c r="C19" s="22"/>
      <c r="D19" s="22"/>
      <c r="E19" s="22"/>
      <c r="F19" s="23" t="s">
        <v>28</v>
      </c>
      <c r="G19" s="23">
        <f>+(G6-F6)+(J6-I6)</f>
        <v>0.27083333333333326</v>
      </c>
      <c r="H19" s="23"/>
      <c r="I19" s="28"/>
      <c r="J19" s="28"/>
      <c r="K19" s="58"/>
    </row>
    <row r="20" spans="1:20" ht="16.2" thickBot="1" x14ac:dyDescent="0.35">
      <c r="A20" s="22"/>
      <c r="B20" s="22"/>
      <c r="C20" s="22"/>
      <c r="D20" s="22"/>
      <c r="E20" s="22"/>
      <c r="F20" s="23" t="s">
        <v>50</v>
      </c>
      <c r="G20" s="23">
        <f>+(G7-F7)+(J7-I7)</f>
        <v>0.27638888888888891</v>
      </c>
      <c r="H20" s="23"/>
      <c r="I20" s="28"/>
      <c r="J20" s="28"/>
      <c r="K20" s="58"/>
    </row>
    <row r="21" spans="1:20" ht="20.25" customHeight="1" thickBot="1" x14ac:dyDescent="0.35">
      <c r="A21" s="22"/>
      <c r="B21" s="22"/>
      <c r="C21" s="22"/>
      <c r="D21" s="22"/>
      <c r="E21" s="22"/>
      <c r="F21" s="30" t="s">
        <v>40</v>
      </c>
      <c r="G21" s="30">
        <f>+AVERAGEIF(G16:G20, "&lt;&gt; 0")</f>
        <v>0.2706944444444444</v>
      </c>
      <c r="H21" s="30"/>
      <c r="I21" s="28"/>
      <c r="J21" s="28"/>
      <c r="K21" s="58"/>
    </row>
    <row r="22" spans="1:20" ht="16.2" thickBot="1" x14ac:dyDescent="0.35">
      <c r="A22" s="22"/>
      <c r="B22" s="22"/>
      <c r="C22" s="22"/>
      <c r="D22" s="22"/>
      <c r="E22" s="22"/>
      <c r="F22" s="25" t="s">
        <v>0</v>
      </c>
      <c r="G22" s="25">
        <v>0.25</v>
      </c>
      <c r="H22" s="25"/>
      <c r="I22" s="28"/>
      <c r="J22" s="28"/>
    </row>
    <row r="23" spans="1:20" ht="16.2" thickBot="1" x14ac:dyDescent="0.35">
      <c r="A23" s="41"/>
      <c r="B23" s="41"/>
      <c r="C23" s="42"/>
      <c r="D23" s="43"/>
      <c r="E23" s="43"/>
      <c r="F23" s="30" t="s">
        <v>41</v>
      </c>
      <c r="G23" s="44">
        <f>G21/G22</f>
        <v>1.0827777777777776</v>
      </c>
      <c r="H23" s="44"/>
      <c r="I23" s="43"/>
      <c r="J23" s="28"/>
    </row>
    <row r="24" spans="1:20" x14ac:dyDescent="0.3">
      <c r="E24" s="3"/>
      <c r="F24" s="3"/>
      <c r="I24" s="28"/>
      <c r="J24" s="28"/>
    </row>
    <row r="25" spans="1:20" x14ac:dyDescent="0.3">
      <c r="T25" s="3"/>
    </row>
    <row r="26" spans="1:20" x14ac:dyDescent="0.3">
      <c r="T26" s="3"/>
    </row>
    <row r="27" spans="1:20" ht="15.6" customHeight="1" x14ac:dyDescent="0.3">
      <c r="I27" s="181" t="s">
        <v>105</v>
      </c>
      <c r="J27" s="182" t="s">
        <v>103</v>
      </c>
      <c r="T27" s="3"/>
    </row>
    <row r="28" spans="1:20" ht="15.6" customHeight="1" x14ac:dyDescent="0.3">
      <c r="I28" s="181"/>
      <c r="J28" s="183"/>
      <c r="T28" s="3"/>
    </row>
    <row r="29" spans="1:20" ht="15.6" customHeight="1" x14ac:dyDescent="0.3">
      <c r="I29" s="181"/>
      <c r="J29" s="183"/>
      <c r="T29" s="3"/>
    </row>
    <row r="30" spans="1:20" ht="15.6" customHeight="1" x14ac:dyDescent="0.3">
      <c r="I30" s="181"/>
      <c r="J30" s="184"/>
      <c r="T30" s="3"/>
    </row>
    <row r="31" spans="1:20" x14ac:dyDescent="0.3">
      <c r="T31" s="3"/>
    </row>
    <row r="32" spans="1:20" x14ac:dyDescent="0.3">
      <c r="T32" s="3"/>
    </row>
    <row r="33" spans="20:20" x14ac:dyDescent="0.3">
      <c r="T33" s="3"/>
    </row>
    <row r="34" spans="20:20" x14ac:dyDescent="0.3">
      <c r="T34" s="3"/>
    </row>
    <row r="35" spans="20:20" x14ac:dyDescent="0.3">
      <c r="T35" s="3"/>
    </row>
    <row r="36" spans="20:20" x14ac:dyDescent="0.3">
      <c r="T36" s="3"/>
    </row>
    <row r="37" spans="20:20" x14ac:dyDescent="0.3">
      <c r="T37" s="3"/>
    </row>
    <row r="38" spans="20:20" x14ac:dyDescent="0.3">
      <c r="T38" s="3"/>
    </row>
    <row r="39" spans="20:20" x14ac:dyDescent="0.3">
      <c r="T39" s="3"/>
    </row>
    <row r="40" spans="20:20" x14ac:dyDescent="0.3">
      <c r="T40" s="3"/>
    </row>
    <row r="41" spans="20:20" x14ac:dyDescent="0.3">
      <c r="T41" s="3"/>
    </row>
    <row r="42" spans="20:20" x14ac:dyDescent="0.3">
      <c r="T42" s="3"/>
    </row>
    <row r="43" spans="20:20" x14ac:dyDescent="0.3">
      <c r="T43" s="3"/>
    </row>
    <row r="44" spans="20:20" x14ac:dyDescent="0.3">
      <c r="T44" s="3"/>
    </row>
    <row r="45" spans="20:20" x14ac:dyDescent="0.3">
      <c r="T45" s="3"/>
    </row>
    <row r="46" spans="20:20" x14ac:dyDescent="0.3">
      <c r="T46" s="3"/>
    </row>
    <row r="47" spans="20:20" x14ac:dyDescent="0.3">
      <c r="T47" s="3"/>
    </row>
    <row r="48" spans="20:20" x14ac:dyDescent="0.3">
      <c r="T48" s="3"/>
    </row>
    <row r="49" spans="20:20" x14ac:dyDescent="0.3">
      <c r="T49" s="3"/>
    </row>
    <row r="50" spans="20:20" x14ac:dyDescent="0.3">
      <c r="T50" s="3"/>
    </row>
    <row r="51" spans="20:20" x14ac:dyDescent="0.3">
      <c r="T51" s="3"/>
    </row>
    <row r="52" spans="20:20" x14ac:dyDescent="0.3">
      <c r="T52" s="3"/>
    </row>
    <row r="53" spans="20:20" x14ac:dyDescent="0.3">
      <c r="T53" s="3"/>
    </row>
    <row r="54" spans="20:20" x14ac:dyDescent="0.3">
      <c r="T54" s="3"/>
    </row>
    <row r="55" spans="20:20" x14ac:dyDescent="0.3">
      <c r="T55" s="3"/>
    </row>
    <row r="56" spans="20:20" x14ac:dyDescent="0.3">
      <c r="T56" s="3"/>
    </row>
    <row r="57" spans="20:20" x14ac:dyDescent="0.3">
      <c r="T57" s="3"/>
    </row>
  </sheetData>
  <mergeCells count="2">
    <mergeCell ref="I27:I30"/>
    <mergeCell ref="J27:J30"/>
  </mergeCells>
  <pageMargins left="0.7" right="0.7" top="0.75" bottom="0.75" header="0.3" footer="0.3"/>
  <drawing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9"/>
  <sheetViews>
    <sheetView zoomScale="70" zoomScaleNormal="70" workbookViewId="0">
      <selection activeCell="C5" sqref="C5:C15"/>
    </sheetView>
  </sheetViews>
  <sheetFormatPr baseColWidth="10" defaultRowHeight="15.6" x14ac:dyDescent="0.3"/>
  <cols>
    <col min="2" max="2" width="22.59765625" customWidth="1"/>
    <col min="6" max="6" width="15.09765625" bestFit="1" customWidth="1"/>
    <col min="7" max="7" width="13.3984375" bestFit="1" customWidth="1"/>
    <col min="16" max="16" width="52.5" customWidth="1"/>
  </cols>
  <sheetData>
    <row r="1" spans="2:16" ht="16.2" thickBot="1" x14ac:dyDescent="0.35"/>
    <row r="2" spans="2:16" x14ac:dyDescent="0.3">
      <c r="B2" s="70" t="s">
        <v>65</v>
      </c>
      <c r="C2" s="71">
        <f>'TTE 7'!G21</f>
        <v>0.24777777777777774</v>
      </c>
      <c r="D2" s="69">
        <f t="shared" ref="D2:D9" si="0">+C2/$C$17</f>
        <v>0.99111111111111094</v>
      </c>
      <c r="F2" s="79"/>
    </row>
    <row r="3" spans="2:16" x14ac:dyDescent="0.3">
      <c r="B3" s="72" t="s">
        <v>56</v>
      </c>
      <c r="C3" s="73">
        <f>+'SUB 6'!G21</f>
        <v>0.24902777777777771</v>
      </c>
      <c r="D3" s="69">
        <f t="shared" si="0"/>
        <v>0.99611111111111084</v>
      </c>
      <c r="F3" s="79"/>
    </row>
    <row r="4" spans="2:16" x14ac:dyDescent="0.3">
      <c r="B4" s="72" t="s">
        <v>55</v>
      </c>
      <c r="C4" s="73">
        <f>+'SUB 5'!G21</f>
        <v>0.24736111111111114</v>
      </c>
      <c r="D4" s="69">
        <f t="shared" si="0"/>
        <v>0.98944444444444457</v>
      </c>
      <c r="F4" s="79"/>
    </row>
    <row r="5" spans="2:16" x14ac:dyDescent="0.3">
      <c r="B5" s="72" t="s">
        <v>54</v>
      </c>
      <c r="C5" s="73">
        <f>+'TTE 6 '!G21</f>
        <v>0.25027777777777765</v>
      </c>
      <c r="D5" s="69">
        <f t="shared" si="0"/>
        <v>1.0011111111111106</v>
      </c>
      <c r="F5" s="79"/>
    </row>
    <row r="6" spans="2:16" x14ac:dyDescent="0.3">
      <c r="B6" s="72" t="s">
        <v>58</v>
      </c>
      <c r="C6" s="73">
        <f>+DIABLO!G21</f>
        <v>0.24736111111111106</v>
      </c>
      <c r="D6" s="69">
        <f t="shared" si="0"/>
        <v>0.98944444444444424</v>
      </c>
      <c r="F6" s="79"/>
    </row>
    <row r="7" spans="2:16" x14ac:dyDescent="0.3">
      <c r="B7" s="72" t="s">
        <v>57</v>
      </c>
      <c r="C7" s="73">
        <f>+'PIPA N'!G21</f>
        <v>0.2475</v>
      </c>
      <c r="D7" s="69">
        <f t="shared" si="0"/>
        <v>0.99</v>
      </c>
      <c r="F7" s="79"/>
    </row>
    <row r="8" spans="2:16" x14ac:dyDescent="0.3">
      <c r="B8" s="72" t="s">
        <v>66</v>
      </c>
      <c r="C8" s="73">
        <f>+'CH colon'!G21</f>
        <v>0.2706944444444444</v>
      </c>
      <c r="D8" s="69">
        <f t="shared" si="0"/>
        <v>1.0827777777777776</v>
      </c>
      <c r="F8" s="79"/>
    </row>
    <row r="9" spans="2:16" x14ac:dyDescent="0.3">
      <c r="B9" s="74" t="s">
        <v>92</v>
      </c>
      <c r="C9" s="73">
        <f>+Salvataje!G21</f>
        <v>0.25874999999999998</v>
      </c>
      <c r="D9" s="69">
        <f t="shared" si="0"/>
        <v>1.0349999999999999</v>
      </c>
      <c r="F9" s="79"/>
    </row>
    <row r="10" spans="2:16" x14ac:dyDescent="0.3">
      <c r="B10" s="72" t="s">
        <v>64</v>
      </c>
      <c r="C10" s="73">
        <f>+'La junta'!G21</f>
        <v>0.28805555555555562</v>
      </c>
      <c r="D10" s="69">
        <f>+C10/$C$19</f>
        <v>0.98761904761904773</v>
      </c>
      <c r="F10" s="79"/>
    </row>
    <row r="11" spans="2:16" x14ac:dyDescent="0.3">
      <c r="B11" s="72" t="s">
        <v>62</v>
      </c>
      <c r="C11" s="73">
        <f>+AC!G21</f>
        <v>0.26277777777777772</v>
      </c>
      <c r="D11" s="69">
        <f>+C11/$C$17</f>
        <v>1.0511111111111109</v>
      </c>
      <c r="F11" s="79"/>
      <c r="P11" s="80"/>
    </row>
    <row r="12" spans="2:16" x14ac:dyDescent="0.3">
      <c r="B12" s="72" t="s">
        <v>63</v>
      </c>
      <c r="C12" s="73">
        <f>+Colec!G21</f>
        <v>0.25986111111111115</v>
      </c>
      <c r="D12" s="69">
        <f>+C12/$C$17</f>
        <v>1.0394444444444446</v>
      </c>
      <c r="F12" s="79"/>
    </row>
    <row r="13" spans="2:16" x14ac:dyDescent="0.3">
      <c r="B13" s="72" t="s">
        <v>61</v>
      </c>
      <c r="C13" s="73">
        <f>+'P M'!G21</f>
        <v>0.24722222222222223</v>
      </c>
      <c r="D13" s="69">
        <f>+C13/$C$17</f>
        <v>0.98888888888888893</v>
      </c>
      <c r="F13" s="79"/>
    </row>
    <row r="14" spans="2:16" x14ac:dyDescent="0.3">
      <c r="B14" s="72" t="s">
        <v>60</v>
      </c>
      <c r="C14" s="73">
        <f>+'Vent '!G21</f>
        <v>0.24902777777777771</v>
      </c>
      <c r="D14" s="69">
        <f>+C14/$C$17</f>
        <v>0.99611111111111084</v>
      </c>
      <c r="F14" s="79"/>
    </row>
    <row r="15" spans="2:16" x14ac:dyDescent="0.3">
      <c r="B15" s="72" t="s">
        <v>59</v>
      </c>
      <c r="C15" s="73">
        <f>+ACCU!G21</f>
        <v>0.44152777777777763</v>
      </c>
      <c r="D15" s="69">
        <f>+C15/$C$18</f>
        <v>1.0422950819672128</v>
      </c>
      <c r="F15" s="79"/>
    </row>
    <row r="16" spans="2:16" x14ac:dyDescent="0.3">
      <c r="B16" s="72" t="s">
        <v>51</v>
      </c>
      <c r="C16" s="73">
        <f>AVERAGE(C2:C15)</f>
        <v>0.26908730158730154</v>
      </c>
    </row>
    <row r="17" spans="2:4" x14ac:dyDescent="0.3">
      <c r="B17" s="72" t="s">
        <v>52</v>
      </c>
      <c r="C17" s="73">
        <v>0.25</v>
      </c>
      <c r="D17" s="55">
        <f>+AVERAGE(D2:D16)</f>
        <v>1.0128906917958438</v>
      </c>
    </row>
    <row r="18" spans="2:4" x14ac:dyDescent="0.3">
      <c r="B18" s="72" t="s">
        <v>75</v>
      </c>
      <c r="C18" s="73">
        <v>0.4236111111111111</v>
      </c>
    </row>
    <row r="19" spans="2:4" ht="16.2" thickBot="1" x14ac:dyDescent="0.35">
      <c r="B19" s="75" t="s">
        <v>76</v>
      </c>
      <c r="C19" s="76">
        <v>0.29166666666666669</v>
      </c>
    </row>
  </sheetData>
  <pageMargins left="0.7" right="0.7" top="0.75" bottom="0.75" header="0.3" footer="0.3"/>
  <pageSetup orientation="portrait" horizontalDpi="4294967293" verticalDpi="0" r:id="rId1"/>
  <ignoredErrors>
    <ignoredError sqref="D10" formula="1"/>
  </ignoredError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61"/>
  <sheetViews>
    <sheetView tabSelected="1" workbookViewId="0">
      <selection activeCell="I11" sqref="I11"/>
    </sheetView>
  </sheetViews>
  <sheetFormatPr baseColWidth="10" defaultRowHeight="15.6" x14ac:dyDescent="0.3"/>
  <cols>
    <col min="1" max="1" width="12.3984375" customWidth="1"/>
    <col min="2" max="2" width="3" customWidth="1"/>
    <col min="5" max="5" width="3" customWidth="1"/>
    <col min="8" max="8" width="2.796875" customWidth="1"/>
    <col min="11" max="11" width="2.59765625" customWidth="1"/>
    <col min="14" max="14" width="2.796875" customWidth="1"/>
    <col min="17" max="17" width="3.296875" customWidth="1"/>
    <col min="18" max="19" width="3" customWidth="1"/>
    <col min="20" max="20" width="3.19921875" customWidth="1"/>
    <col min="21" max="21" width="3" customWidth="1"/>
    <col min="22" max="22" width="2.8984375" customWidth="1"/>
    <col min="23" max="23" width="3.296875" customWidth="1"/>
  </cols>
  <sheetData>
    <row r="2" spans="1:25" x14ac:dyDescent="0.3">
      <c r="A2" s="85"/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  <c r="W2" s="86"/>
      <c r="X2" s="86"/>
      <c r="Y2" s="86"/>
    </row>
    <row r="3" spans="1:25" ht="16.2" thickBot="1" x14ac:dyDescent="0.35">
      <c r="A3" s="85"/>
      <c r="B3" s="86"/>
      <c r="C3" s="86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  <c r="W3" s="86"/>
      <c r="X3" s="86"/>
      <c r="Y3" s="86"/>
    </row>
    <row r="4" spans="1:25" ht="16.8" thickTop="1" thickBot="1" x14ac:dyDescent="0.35">
      <c r="A4" s="87" t="s">
        <v>106</v>
      </c>
      <c r="B4" s="202">
        <f>+'TTE 6 '!C3</f>
        <v>44907</v>
      </c>
      <c r="C4" s="203"/>
      <c r="D4" s="203"/>
      <c r="E4" s="193">
        <f>+'TTE 6 '!C4</f>
        <v>44908</v>
      </c>
      <c r="F4" s="194"/>
      <c r="G4" s="194"/>
      <c r="H4" s="195">
        <f>+'TTE 6 '!C5</f>
        <v>44909</v>
      </c>
      <c r="I4" s="196"/>
      <c r="J4" s="197"/>
      <c r="K4" s="193">
        <f>+'TTE 6 '!C6</f>
        <v>44910</v>
      </c>
      <c r="L4" s="194"/>
      <c r="M4" s="194"/>
      <c r="N4" s="195">
        <f>+'TTE 6 '!C7</f>
        <v>44911</v>
      </c>
      <c r="O4" s="196"/>
      <c r="P4" s="197"/>
      <c r="Q4" s="193">
        <f>+'TTE 6 '!C8</f>
        <v>44912</v>
      </c>
      <c r="R4" s="194"/>
      <c r="S4" s="194"/>
      <c r="T4" s="195">
        <f>+'TTE 6 '!C9</f>
        <v>44913</v>
      </c>
      <c r="U4" s="196"/>
      <c r="V4" s="198"/>
      <c r="W4" s="199" t="s">
        <v>107</v>
      </c>
      <c r="X4" s="200"/>
      <c r="Y4" s="201"/>
    </row>
    <row r="5" spans="1:25" ht="16.2" thickBot="1" x14ac:dyDescent="0.35">
      <c r="A5" s="88"/>
      <c r="B5" s="144" t="s">
        <v>108</v>
      </c>
      <c r="C5" s="145" t="s">
        <v>103</v>
      </c>
      <c r="D5" s="146" t="s">
        <v>104</v>
      </c>
      <c r="E5" s="89" t="s">
        <v>108</v>
      </c>
      <c r="F5" s="90" t="s">
        <v>103</v>
      </c>
      <c r="G5" s="91" t="s">
        <v>104</v>
      </c>
      <c r="H5" s="89" t="s">
        <v>108</v>
      </c>
      <c r="I5" s="90" t="s">
        <v>103</v>
      </c>
      <c r="J5" s="91" t="s">
        <v>104</v>
      </c>
      <c r="K5" s="89" t="s">
        <v>108</v>
      </c>
      <c r="L5" s="90" t="s">
        <v>103</v>
      </c>
      <c r="M5" s="91" t="s">
        <v>104</v>
      </c>
      <c r="N5" s="89" t="s">
        <v>108</v>
      </c>
      <c r="O5" s="90" t="s">
        <v>103</v>
      </c>
      <c r="P5" s="91" t="s">
        <v>104</v>
      </c>
      <c r="Q5" s="89" t="s">
        <v>108</v>
      </c>
      <c r="R5" s="90" t="s">
        <v>103</v>
      </c>
      <c r="S5" s="91" t="s">
        <v>104</v>
      </c>
      <c r="T5" s="89" t="s">
        <v>108</v>
      </c>
      <c r="U5" s="90" t="s">
        <v>103</v>
      </c>
      <c r="V5" s="92" t="s">
        <v>104</v>
      </c>
      <c r="W5" s="93" t="s">
        <v>108</v>
      </c>
      <c r="X5" s="90" t="s">
        <v>103</v>
      </c>
      <c r="Y5" s="94" t="s">
        <v>104</v>
      </c>
    </row>
    <row r="6" spans="1:25" ht="16.2" thickBot="1" x14ac:dyDescent="0.35">
      <c r="A6" s="95" t="s">
        <v>109</v>
      </c>
      <c r="B6" s="185" t="s">
        <v>110</v>
      </c>
      <c r="C6" s="186"/>
      <c r="D6" s="187"/>
      <c r="E6" s="185" t="s">
        <v>110</v>
      </c>
      <c r="F6" s="186"/>
      <c r="G6" s="187"/>
      <c r="H6" s="185" t="s">
        <v>110</v>
      </c>
      <c r="I6" s="186"/>
      <c r="J6" s="187"/>
      <c r="K6" s="185" t="s">
        <v>110</v>
      </c>
      <c r="L6" s="186"/>
      <c r="M6" s="187"/>
      <c r="N6" s="185" t="s">
        <v>110</v>
      </c>
      <c r="O6" s="186"/>
      <c r="P6" s="187"/>
      <c r="Q6" s="185" t="s">
        <v>110</v>
      </c>
      <c r="R6" s="186"/>
      <c r="S6" s="187"/>
      <c r="T6" s="185" t="s">
        <v>110</v>
      </c>
      <c r="U6" s="186"/>
      <c r="V6" s="186"/>
      <c r="W6" s="188" t="s">
        <v>110</v>
      </c>
      <c r="X6" s="186"/>
      <c r="Y6" s="192"/>
    </row>
    <row r="7" spans="1:25" x14ac:dyDescent="0.3">
      <c r="A7" s="96" t="s">
        <v>111</v>
      </c>
      <c r="B7" s="117"/>
      <c r="C7" s="118">
        <f>+'TTE 7'!D3</f>
        <v>0.33680555555555558</v>
      </c>
      <c r="D7" s="118"/>
      <c r="E7" s="97"/>
      <c r="F7" s="143">
        <f>+'TTE 7'!D4</f>
        <v>0.33680555555555558</v>
      </c>
      <c r="G7" s="143"/>
      <c r="H7" s="97"/>
      <c r="I7" s="143">
        <f>+'TTE 7'!D5</f>
        <v>0.33680555555555558</v>
      </c>
      <c r="J7" s="143"/>
      <c r="K7" s="97"/>
      <c r="L7" s="143">
        <f>+'TTE 7'!D6</f>
        <v>0.33680555555555558</v>
      </c>
      <c r="M7" s="143"/>
      <c r="N7" s="97"/>
      <c r="O7" s="143">
        <f>+'TTE 7'!D7</f>
        <v>0.33680555555555558</v>
      </c>
      <c r="P7" s="143"/>
      <c r="Q7" s="97"/>
      <c r="R7" s="100"/>
      <c r="S7" s="101"/>
      <c r="T7" s="97"/>
      <c r="U7" s="100"/>
      <c r="V7" s="102"/>
      <c r="W7" s="103" t="str">
        <f>IFERROR(AVERAGE(B7,E7,H7,K7,N7,Q7,T7),"")</f>
        <v/>
      </c>
      <c r="X7" s="104">
        <f>IFERROR(AVERAGE(C7,F7,I7,L7,O7,R7,U7),"")</f>
        <v>0.33680555555555558</v>
      </c>
      <c r="Y7" s="104" t="str">
        <f>IFERROR(AVERAGE(D7,G7,J7,M7,P7,S7,V7),"")</f>
        <v/>
      </c>
    </row>
    <row r="8" spans="1:25" x14ac:dyDescent="0.3">
      <c r="A8" s="96" t="s">
        <v>112</v>
      </c>
      <c r="B8" s="117"/>
      <c r="C8" s="118">
        <f>+'TTE 7'!J3</f>
        <v>0.65972222222222221</v>
      </c>
      <c r="D8" s="118"/>
      <c r="E8" s="97"/>
      <c r="F8" s="98">
        <f>+'TTE 7'!J4</f>
        <v>0.65972222222222221</v>
      </c>
      <c r="G8" s="98"/>
      <c r="H8" s="97"/>
      <c r="I8" s="98">
        <f>+'TTE 7'!J5</f>
        <v>0.65972222222222221</v>
      </c>
      <c r="J8" s="98"/>
      <c r="K8" s="97"/>
      <c r="L8" s="98">
        <f>+'TTE 7'!J6</f>
        <v>0.65972222222222221</v>
      </c>
      <c r="M8" s="98"/>
      <c r="N8" s="97"/>
      <c r="O8" s="98">
        <f>+'TTE 7'!J7</f>
        <v>0.65972222222222221</v>
      </c>
      <c r="P8" s="98"/>
      <c r="Q8" s="97"/>
      <c r="R8" s="100"/>
      <c r="S8" s="101"/>
      <c r="T8" s="97"/>
      <c r="U8" s="100"/>
      <c r="V8" s="102"/>
      <c r="W8" s="106" t="str">
        <f>IFERROR(AVERAGE(B8,E8,H8,K8,N8,Q8,T8),"")</f>
        <v/>
      </c>
      <c r="X8" s="107">
        <f t="shared" ref="X8:Y9" si="0">IFERROR(AVERAGE(C8,F8,I8,L8,O8,R8,U8),"")</f>
        <v>0.65972222222222221</v>
      </c>
      <c r="Y8" s="107" t="str">
        <f t="shared" si="0"/>
        <v/>
      </c>
    </row>
    <row r="9" spans="1:25" ht="16.2" thickBot="1" x14ac:dyDescent="0.35">
      <c r="A9" s="109" t="s">
        <v>113</v>
      </c>
      <c r="B9" s="127"/>
      <c r="C9" s="119">
        <f>+'TTE 7'!G16</f>
        <v>0.24652777777777773</v>
      </c>
      <c r="D9" s="119"/>
      <c r="E9" s="110"/>
      <c r="F9" s="139">
        <f>+'TTE 7'!G17</f>
        <v>0.25486111111111109</v>
      </c>
      <c r="G9" s="139"/>
      <c r="H9" s="110"/>
      <c r="I9" s="139">
        <f>+'TTE 7'!G18</f>
        <v>0.24791666666666651</v>
      </c>
      <c r="J9" s="139"/>
      <c r="K9" s="110"/>
      <c r="L9" s="139">
        <f>+'TTE 7'!G19</f>
        <v>0.24791666666666651</v>
      </c>
      <c r="M9" s="139"/>
      <c r="N9" s="110"/>
      <c r="O9" s="139">
        <f>+'TTE 7'!G20</f>
        <v>0.2416666666666667</v>
      </c>
      <c r="P9" s="139"/>
      <c r="Q9" s="110"/>
      <c r="R9" s="111"/>
      <c r="S9" s="112"/>
      <c r="T9" s="110"/>
      <c r="U9" s="111"/>
      <c r="V9" s="113"/>
      <c r="W9" s="114" t="str">
        <f>IFERROR(AVERAGE(B9,E9,H9,K9,N9,Q9,T9),"")</f>
        <v/>
      </c>
      <c r="X9" s="115">
        <f t="shared" si="0"/>
        <v>0.24777777777777774</v>
      </c>
      <c r="Y9" s="115" t="str">
        <f t="shared" si="0"/>
        <v/>
      </c>
    </row>
    <row r="10" spans="1:25" ht="16.2" thickBot="1" x14ac:dyDescent="0.35">
      <c r="A10" s="95" t="s">
        <v>114</v>
      </c>
      <c r="B10" s="189" t="s">
        <v>110</v>
      </c>
      <c r="C10" s="190"/>
      <c r="D10" s="191"/>
      <c r="E10" s="185" t="s">
        <v>110</v>
      </c>
      <c r="F10" s="186"/>
      <c r="G10" s="187"/>
      <c r="H10" s="185" t="s">
        <v>110</v>
      </c>
      <c r="I10" s="186"/>
      <c r="J10" s="187"/>
      <c r="K10" s="185" t="s">
        <v>110</v>
      </c>
      <c r="L10" s="186"/>
      <c r="M10" s="187"/>
      <c r="N10" s="185" t="s">
        <v>110</v>
      </c>
      <c r="O10" s="186"/>
      <c r="P10" s="187"/>
      <c r="Q10" s="185" t="s">
        <v>110</v>
      </c>
      <c r="R10" s="186"/>
      <c r="S10" s="187"/>
      <c r="T10" s="185" t="s">
        <v>110</v>
      </c>
      <c r="U10" s="186"/>
      <c r="V10" s="186"/>
      <c r="W10" s="188" t="s">
        <v>110</v>
      </c>
      <c r="X10" s="186"/>
      <c r="Y10" s="192"/>
    </row>
    <row r="11" spans="1:25" x14ac:dyDescent="0.3">
      <c r="A11" s="96" t="s">
        <v>111</v>
      </c>
      <c r="B11" s="117"/>
      <c r="C11" s="118"/>
      <c r="D11" s="118">
        <f>+'SUB 6'!D3</f>
        <v>0.67361111111111116</v>
      </c>
      <c r="E11" s="97"/>
      <c r="F11" s="98"/>
      <c r="G11" s="98">
        <f>+'SUB 6'!D4</f>
        <v>0.67361111111111116</v>
      </c>
      <c r="H11" s="97"/>
      <c r="I11" s="98"/>
      <c r="J11" s="98">
        <f>+'SUB 6'!D5</f>
        <v>0.67361111111111116</v>
      </c>
      <c r="K11" s="97"/>
      <c r="L11" s="98"/>
      <c r="M11" s="98">
        <f>+'SUB 6'!D6</f>
        <v>0.67361111111111116</v>
      </c>
      <c r="N11" s="97"/>
      <c r="O11" s="98"/>
      <c r="P11" s="98">
        <f>+'SUB 6'!D7</f>
        <v>0.67361111111111116</v>
      </c>
      <c r="Q11" s="97"/>
      <c r="R11" s="100"/>
      <c r="S11" s="101"/>
      <c r="T11" s="97"/>
      <c r="U11" s="100"/>
      <c r="V11" s="102"/>
      <c r="W11" s="103" t="str">
        <f>IFERROR(AVERAGE(B11,E11,H11,K11,N11,Q11,T11),"")</f>
        <v/>
      </c>
      <c r="X11" s="104" t="str">
        <f>IFERROR(AVERAGE(C11,F11,I11,L11,O11,R11,U11),"")</f>
        <v/>
      </c>
      <c r="Y11" s="151">
        <f>IFERROR(AVERAGE(D11,G11,J11,M11,P11,S11,V11),"")</f>
        <v>0.67361111111111116</v>
      </c>
    </row>
    <row r="12" spans="1:25" x14ac:dyDescent="0.3">
      <c r="A12" s="96" t="s">
        <v>112</v>
      </c>
      <c r="B12" s="117"/>
      <c r="C12" s="118"/>
      <c r="D12" s="118">
        <f>+'SUB 6'!J3</f>
        <v>0.99305555555555547</v>
      </c>
      <c r="E12" s="97"/>
      <c r="F12" s="98"/>
      <c r="G12" s="98">
        <f>+'SUB 6'!J4</f>
        <v>0.99305555555555547</v>
      </c>
      <c r="H12" s="97"/>
      <c r="I12" s="98"/>
      <c r="J12" s="98">
        <f>+'SUB 6'!J5</f>
        <v>0.99305555555555547</v>
      </c>
      <c r="K12" s="97"/>
      <c r="L12" s="98"/>
      <c r="M12" s="98">
        <f>+'SUB 6'!J6</f>
        <v>0.99305555555555547</v>
      </c>
      <c r="N12" s="97"/>
      <c r="O12" s="98"/>
      <c r="P12" s="98">
        <f>+'SUB 6'!J7</f>
        <v>0.99305555555555547</v>
      </c>
      <c r="Q12" s="97"/>
      <c r="R12" s="100"/>
      <c r="S12" s="101"/>
      <c r="T12" s="97"/>
      <c r="U12" s="100"/>
      <c r="V12" s="102"/>
      <c r="W12" s="106" t="str">
        <f>IFERROR(AVERAGE(B12,E12,H12,K12,N12,Q12,T12),"")</f>
        <v/>
      </c>
      <c r="X12" s="107" t="str">
        <f t="shared" ref="X12:Y13" si="1">IFERROR(AVERAGE(C12,F12,I12,L12,O12,R12,U12),"")</f>
        <v/>
      </c>
      <c r="Y12" s="152">
        <f t="shared" si="1"/>
        <v>0.99305555555555558</v>
      </c>
    </row>
    <row r="13" spans="1:25" ht="16.2" thickBot="1" x14ac:dyDescent="0.35">
      <c r="A13" s="109" t="s">
        <v>113</v>
      </c>
      <c r="B13" s="127"/>
      <c r="C13" s="118"/>
      <c r="D13" s="118">
        <f>+'SUB 6'!G16</f>
        <v>0.25694444444444431</v>
      </c>
      <c r="E13" s="110"/>
      <c r="F13" s="98"/>
      <c r="G13" s="98">
        <f>+'SUB 6'!G17</f>
        <v>0.24861111111111112</v>
      </c>
      <c r="H13" s="110"/>
      <c r="I13" s="98"/>
      <c r="J13" s="98">
        <f>+'SUB 6'!G18</f>
        <v>0.24305555555555558</v>
      </c>
      <c r="K13" s="110"/>
      <c r="L13" s="98"/>
      <c r="M13" s="98">
        <f>+'SUB 6'!G19</f>
        <v>0.25</v>
      </c>
      <c r="N13" s="110"/>
      <c r="O13" s="98"/>
      <c r="P13" s="98">
        <f>+'SUB 6'!G20</f>
        <v>0.24652777777777768</v>
      </c>
      <c r="Q13" s="110"/>
      <c r="R13" s="111"/>
      <c r="S13" s="112"/>
      <c r="T13" s="110"/>
      <c r="U13" s="111"/>
      <c r="V13" s="113"/>
      <c r="W13" s="114" t="str">
        <f>IFERROR(AVERAGE(B13,E13,H13,K13,N13,Q13,T13),"")</f>
        <v/>
      </c>
      <c r="X13" s="115" t="str">
        <f t="shared" si="1"/>
        <v/>
      </c>
      <c r="Y13" s="153">
        <f t="shared" si="1"/>
        <v>0.24902777777777771</v>
      </c>
    </row>
    <row r="14" spans="1:25" ht="16.2" thickBot="1" x14ac:dyDescent="0.35">
      <c r="A14" s="95" t="s">
        <v>115</v>
      </c>
      <c r="B14" s="189" t="s">
        <v>110</v>
      </c>
      <c r="C14" s="190"/>
      <c r="D14" s="191"/>
      <c r="E14" s="185" t="s">
        <v>110</v>
      </c>
      <c r="F14" s="186"/>
      <c r="G14" s="187"/>
      <c r="H14" s="185" t="s">
        <v>110</v>
      </c>
      <c r="I14" s="186"/>
      <c r="J14" s="187"/>
      <c r="K14" s="185" t="s">
        <v>110</v>
      </c>
      <c r="L14" s="186"/>
      <c r="M14" s="187"/>
      <c r="N14" s="185" t="s">
        <v>110</v>
      </c>
      <c r="O14" s="186"/>
      <c r="P14" s="187"/>
      <c r="Q14" s="185" t="s">
        <v>110</v>
      </c>
      <c r="R14" s="186"/>
      <c r="S14" s="187"/>
      <c r="T14" s="185" t="s">
        <v>110</v>
      </c>
      <c r="U14" s="186"/>
      <c r="V14" s="186"/>
      <c r="W14" s="188" t="s">
        <v>110</v>
      </c>
      <c r="X14" s="186"/>
      <c r="Y14" s="192"/>
    </row>
    <row r="15" spans="1:25" x14ac:dyDescent="0.3">
      <c r="A15" s="96" t="s">
        <v>111</v>
      </c>
      <c r="B15" s="117"/>
      <c r="C15" s="119">
        <f>+'SUB 5'!D3</f>
        <v>0.34027777777777773</v>
      </c>
      <c r="D15" s="119"/>
      <c r="E15" s="117"/>
      <c r="F15" s="118">
        <f>+'SUB 5'!D4</f>
        <v>0.33888888888888885</v>
      </c>
      <c r="G15" s="118"/>
      <c r="H15" s="117"/>
      <c r="I15" s="118">
        <f>+'SUB 5'!D5</f>
        <v>0.34027777777777773</v>
      </c>
      <c r="J15" s="118"/>
      <c r="K15" s="117"/>
      <c r="L15" s="118">
        <f>+'SUB 5'!D6</f>
        <v>0.34375</v>
      </c>
      <c r="M15" s="118"/>
      <c r="N15" s="117"/>
      <c r="O15" s="118">
        <f>+'SUB 5'!D7</f>
        <v>0.34375</v>
      </c>
      <c r="P15" s="118"/>
      <c r="Q15" s="117"/>
      <c r="R15" s="120"/>
      <c r="S15" s="121"/>
      <c r="T15" s="117"/>
      <c r="U15" s="120"/>
      <c r="V15" s="122"/>
      <c r="W15" s="123" t="str">
        <f>IFERROR(AVERAGE(B15,E15,H15,K15,N15,Q15,T15),"")</f>
        <v/>
      </c>
      <c r="X15" s="124">
        <f t="shared" ref="X15:Y17" si="2">IFERROR(AVERAGE(C15,F15,I15,L15,O15,R15,U15),"")</f>
        <v>0.34138888888888885</v>
      </c>
      <c r="Y15" s="148" t="str">
        <f t="shared" si="2"/>
        <v/>
      </c>
    </row>
    <row r="16" spans="1:25" x14ac:dyDescent="0.3">
      <c r="A16" s="96" t="s">
        <v>112</v>
      </c>
      <c r="B16" s="117"/>
      <c r="C16" s="119">
        <f>+'SUB 5'!J3</f>
        <v>0.65972222222222221</v>
      </c>
      <c r="D16" s="119"/>
      <c r="E16" s="117"/>
      <c r="F16" s="118">
        <f>+'SUB 5'!J4</f>
        <v>0.65972222222222221</v>
      </c>
      <c r="G16" s="118"/>
      <c r="H16" s="117"/>
      <c r="I16" s="118">
        <f>+'SUB 5'!J5</f>
        <v>0.65972222222222221</v>
      </c>
      <c r="J16" s="118"/>
      <c r="K16" s="117"/>
      <c r="L16" s="118">
        <f>+'SUB 5'!J6</f>
        <v>0.65972222222222221</v>
      </c>
      <c r="M16" s="118"/>
      <c r="N16" s="117"/>
      <c r="O16" s="118">
        <f>+'SUB 5'!J7</f>
        <v>0.65972222222222221</v>
      </c>
      <c r="P16" s="118"/>
      <c r="Q16" s="117"/>
      <c r="R16" s="120"/>
      <c r="S16" s="121"/>
      <c r="T16" s="117"/>
      <c r="U16" s="120"/>
      <c r="V16" s="122"/>
      <c r="W16" s="125" t="str">
        <f>IFERROR(AVERAGE(B16,E16,H16,K16,N16,Q16,T16),"")</f>
        <v/>
      </c>
      <c r="X16" s="126">
        <f t="shared" si="2"/>
        <v>0.65972222222222221</v>
      </c>
      <c r="Y16" s="149" t="str">
        <f t="shared" si="2"/>
        <v/>
      </c>
    </row>
    <row r="17" spans="1:25" ht="16.2" thickBot="1" x14ac:dyDescent="0.35">
      <c r="A17" s="109" t="s">
        <v>113</v>
      </c>
      <c r="B17" s="127"/>
      <c r="C17" s="119">
        <f>+'SUB 5'!G16</f>
        <v>0.25208333333333333</v>
      </c>
      <c r="D17" s="119"/>
      <c r="E17" s="127"/>
      <c r="F17" s="118">
        <f>+'SUB 5'!G17</f>
        <v>0.24166666666666664</v>
      </c>
      <c r="G17" s="118"/>
      <c r="H17" s="127"/>
      <c r="I17" s="118">
        <f>+'SUB 5'!G18</f>
        <v>0.25069444444444439</v>
      </c>
      <c r="J17" s="118"/>
      <c r="K17" s="127"/>
      <c r="L17" s="118">
        <f>+'SUB 5'!G19</f>
        <v>0.24722222222222234</v>
      </c>
      <c r="M17" s="118"/>
      <c r="N17" s="127"/>
      <c r="O17" s="118">
        <f>+'SUB 5'!G20</f>
        <v>0.24513888888888896</v>
      </c>
      <c r="P17" s="118"/>
      <c r="Q17" s="127"/>
      <c r="R17" s="129"/>
      <c r="S17" s="130"/>
      <c r="T17" s="127"/>
      <c r="U17" s="129"/>
      <c r="V17" s="131"/>
      <c r="W17" s="132" t="str">
        <f>IFERROR(AVERAGE(B17,E17,H17,K17,N17,Q17,T17),"")</f>
        <v/>
      </c>
      <c r="X17" s="133">
        <f t="shared" si="2"/>
        <v>0.24736111111111114</v>
      </c>
      <c r="Y17" s="150" t="str">
        <f t="shared" si="2"/>
        <v/>
      </c>
    </row>
    <row r="18" spans="1:25" ht="16.2" thickBot="1" x14ac:dyDescent="0.35">
      <c r="A18" s="95" t="s">
        <v>116</v>
      </c>
      <c r="B18" s="189" t="s">
        <v>110</v>
      </c>
      <c r="C18" s="190"/>
      <c r="D18" s="191"/>
      <c r="E18" s="185" t="s">
        <v>110</v>
      </c>
      <c r="F18" s="186"/>
      <c r="G18" s="187"/>
      <c r="H18" s="185" t="s">
        <v>110</v>
      </c>
      <c r="I18" s="186"/>
      <c r="J18" s="187"/>
      <c r="K18" s="185" t="s">
        <v>110</v>
      </c>
      <c r="L18" s="186"/>
      <c r="M18" s="187"/>
      <c r="N18" s="185" t="s">
        <v>110</v>
      </c>
      <c r="O18" s="186"/>
      <c r="P18" s="187"/>
      <c r="Q18" s="185" t="s">
        <v>110</v>
      </c>
      <c r="R18" s="186"/>
      <c r="S18" s="187"/>
      <c r="T18" s="185" t="s">
        <v>110</v>
      </c>
      <c r="U18" s="186"/>
      <c r="V18" s="186"/>
      <c r="W18" s="188" t="s">
        <v>110</v>
      </c>
      <c r="X18" s="186"/>
      <c r="Y18" s="192"/>
    </row>
    <row r="19" spans="1:25" x14ac:dyDescent="0.3">
      <c r="A19" s="96" t="s">
        <v>111</v>
      </c>
      <c r="B19" s="117"/>
      <c r="C19" s="118">
        <f>+'TTE 6 '!D3</f>
        <v>0.33333333333333331</v>
      </c>
      <c r="D19" s="121"/>
      <c r="E19" s="97"/>
      <c r="F19" s="98">
        <f>+'TTE 6 '!D4</f>
        <v>0.33680555555555558</v>
      </c>
      <c r="G19" s="101"/>
      <c r="H19" s="97"/>
      <c r="I19" s="98">
        <f>+'TTE 6 '!D5</f>
        <v>0.33333333333333331</v>
      </c>
      <c r="J19" s="101"/>
      <c r="K19" s="97"/>
      <c r="L19" s="98">
        <f>+'TTE 6 '!D6</f>
        <v>0.33680555555555558</v>
      </c>
      <c r="M19" s="101"/>
      <c r="N19" s="97"/>
      <c r="O19" s="98">
        <f>+'TTE 6 '!D7</f>
        <v>0.33333333333333331</v>
      </c>
      <c r="P19" s="101"/>
      <c r="Q19" s="97"/>
      <c r="R19" s="100"/>
      <c r="S19" s="101"/>
      <c r="T19" s="97"/>
      <c r="U19" s="100"/>
      <c r="V19" s="102"/>
      <c r="W19" s="103" t="str">
        <f>IFERROR(AVERAGE(B19,E19,H19,K19,N19,Q19,T19),"")</f>
        <v/>
      </c>
      <c r="X19" s="104">
        <f t="shared" ref="X19:Y21" si="3">IFERROR(AVERAGE(C19,F19,I19,L19,O19,R19,U19),"")</f>
        <v>0.3347222222222222</v>
      </c>
      <c r="Y19" s="105" t="str">
        <f t="shared" si="3"/>
        <v/>
      </c>
    </row>
    <row r="20" spans="1:25" x14ac:dyDescent="0.3">
      <c r="A20" s="96" t="s">
        <v>112</v>
      </c>
      <c r="B20" s="117"/>
      <c r="C20" s="118">
        <f>+'TTE 6 '!J3</f>
        <v>0.65972222222222221</v>
      </c>
      <c r="D20" s="121"/>
      <c r="E20" s="97"/>
      <c r="F20" s="98">
        <f>+'TTE 6 '!J4</f>
        <v>0.65972222222222199</v>
      </c>
      <c r="G20" s="101"/>
      <c r="H20" s="97"/>
      <c r="I20" s="98">
        <f>+'TTE 6 '!J5</f>
        <v>0.65972222222222221</v>
      </c>
      <c r="J20" s="101"/>
      <c r="K20" s="97"/>
      <c r="L20" s="98">
        <f>+'TTE 6 '!J6</f>
        <v>0.65972222222222199</v>
      </c>
      <c r="M20" s="101"/>
      <c r="N20" s="97"/>
      <c r="O20" s="98">
        <f>+'TTE 6 '!J7</f>
        <v>0.65972222222222221</v>
      </c>
      <c r="P20" s="101"/>
      <c r="Q20" s="97"/>
      <c r="R20" s="100"/>
      <c r="S20" s="101"/>
      <c r="T20" s="97"/>
      <c r="U20" s="100"/>
      <c r="V20" s="102"/>
      <c r="W20" s="106" t="str">
        <f>IFERROR(AVERAGE(B20,E20,H20,K20,N20,Q20,T20),"")</f>
        <v/>
      </c>
      <c r="X20" s="107">
        <f t="shared" si="3"/>
        <v>0.6597222222222221</v>
      </c>
      <c r="Y20" s="108" t="str">
        <f t="shared" si="3"/>
        <v/>
      </c>
    </row>
    <row r="21" spans="1:25" ht="16.2" thickBot="1" x14ac:dyDescent="0.35">
      <c r="A21" s="109" t="s">
        <v>113</v>
      </c>
      <c r="B21" s="127"/>
      <c r="C21" s="118">
        <f>+'TTE 6 '!G16</f>
        <v>0.25694444444444453</v>
      </c>
      <c r="D21" s="130"/>
      <c r="E21" s="110"/>
      <c r="F21" s="98">
        <f>+'TTE 6 '!G17</f>
        <v>0.24791666666666629</v>
      </c>
      <c r="G21" s="112"/>
      <c r="H21" s="110"/>
      <c r="I21" s="98">
        <f>+'TTE 6 '!G18</f>
        <v>0.24999999999999994</v>
      </c>
      <c r="J21" s="112"/>
      <c r="K21" s="110"/>
      <c r="L21" s="98">
        <f>+'TTE 6 '!G19</f>
        <v>0.25347222222222193</v>
      </c>
      <c r="M21" s="112"/>
      <c r="N21" s="110"/>
      <c r="O21" s="98">
        <f>+'TTE 6 '!G20</f>
        <v>0.24305555555555552</v>
      </c>
      <c r="P21" s="112"/>
      <c r="Q21" s="110"/>
      <c r="R21" s="111"/>
      <c r="S21" s="112"/>
      <c r="T21" s="110"/>
      <c r="U21" s="111"/>
      <c r="V21" s="113"/>
      <c r="W21" s="114" t="str">
        <f>IFERROR(AVERAGE(B21,E21,H21,K21,N21,Q21,T21),"")</f>
        <v/>
      </c>
      <c r="X21" s="115">
        <f t="shared" si="3"/>
        <v>0.25027777777777765</v>
      </c>
      <c r="Y21" s="116" t="str">
        <f t="shared" si="3"/>
        <v/>
      </c>
    </row>
    <row r="22" spans="1:25" ht="16.2" thickBot="1" x14ac:dyDescent="0.35">
      <c r="A22" s="95" t="s">
        <v>117</v>
      </c>
      <c r="B22" s="189" t="s">
        <v>110</v>
      </c>
      <c r="C22" s="190"/>
      <c r="D22" s="191"/>
      <c r="E22" s="185" t="s">
        <v>110</v>
      </c>
      <c r="F22" s="186"/>
      <c r="G22" s="187"/>
      <c r="H22" s="185" t="s">
        <v>110</v>
      </c>
      <c r="I22" s="186"/>
      <c r="J22" s="187"/>
      <c r="K22" s="185" t="s">
        <v>110</v>
      </c>
      <c r="L22" s="186"/>
      <c r="M22" s="187"/>
      <c r="N22" s="185" t="s">
        <v>110</v>
      </c>
      <c r="O22" s="186"/>
      <c r="P22" s="187"/>
      <c r="Q22" s="185" t="s">
        <v>110</v>
      </c>
      <c r="R22" s="186"/>
      <c r="S22" s="187"/>
      <c r="T22" s="185" t="s">
        <v>110</v>
      </c>
      <c r="U22" s="186"/>
      <c r="V22" s="186"/>
      <c r="W22" s="188" t="s">
        <v>110</v>
      </c>
      <c r="X22" s="186"/>
      <c r="Y22" s="192"/>
    </row>
    <row r="23" spans="1:25" x14ac:dyDescent="0.3">
      <c r="A23" s="96" t="s">
        <v>111</v>
      </c>
      <c r="B23" s="117"/>
      <c r="C23" s="118"/>
      <c r="D23" s="118">
        <f>+DIABLO!D3</f>
        <v>0.67361111111111116</v>
      </c>
      <c r="E23" s="97"/>
      <c r="F23" s="98"/>
      <c r="G23" s="98">
        <f>+DIABLO!D4</f>
        <v>0.67361111111111116</v>
      </c>
      <c r="H23" s="97"/>
      <c r="I23" s="98"/>
      <c r="J23" s="98">
        <f>+DIABLO!D5</f>
        <v>0.67361111111111116</v>
      </c>
      <c r="K23" s="97"/>
      <c r="L23" s="98"/>
      <c r="M23" s="98">
        <f>+DIABLO!D6</f>
        <v>0.67361111111111116</v>
      </c>
      <c r="N23" s="97"/>
      <c r="O23" s="98"/>
      <c r="P23" s="98">
        <f>+DIABLO!D7</f>
        <v>0.67361111111111116</v>
      </c>
      <c r="Q23" s="97"/>
      <c r="R23" s="100"/>
      <c r="S23" s="101"/>
      <c r="T23" s="97"/>
      <c r="U23" s="100"/>
      <c r="V23" s="102"/>
      <c r="W23" s="103" t="str">
        <f t="shared" ref="W23:X25" si="4">IFERROR(AVERAGE(B23,E23,H23,K23,N23,Q23,T23),"")</f>
        <v/>
      </c>
      <c r="X23" s="104" t="str">
        <f t="shared" si="4"/>
        <v/>
      </c>
      <c r="Y23" s="151">
        <f t="shared" ref="Y23:Y25" si="5">IFERROR(AVERAGE(D23,G23,J23,M23,P23,S23,V23),"")</f>
        <v>0.67361111111111116</v>
      </c>
    </row>
    <row r="24" spans="1:25" x14ac:dyDescent="0.3">
      <c r="A24" s="96" t="s">
        <v>112</v>
      </c>
      <c r="B24" s="117"/>
      <c r="C24" s="118"/>
      <c r="D24" s="118">
        <f>+DIABLO!J3</f>
        <v>0.99305555555555547</v>
      </c>
      <c r="E24" s="97"/>
      <c r="F24" s="98"/>
      <c r="G24" s="98">
        <f>+DIABLO!J4</f>
        <v>0.99305555555555547</v>
      </c>
      <c r="H24" s="97"/>
      <c r="I24" s="98"/>
      <c r="J24" s="98">
        <f>+DIABLO!J5</f>
        <v>0.99305555555555547</v>
      </c>
      <c r="K24" s="97"/>
      <c r="L24" s="98"/>
      <c r="M24" s="98">
        <f>+DIABLO!J6</f>
        <v>0.99305555555555547</v>
      </c>
      <c r="N24" s="97"/>
      <c r="O24" s="98"/>
      <c r="P24" s="98">
        <f>+DIABLO!J7</f>
        <v>0.99305555555555547</v>
      </c>
      <c r="Q24" s="97"/>
      <c r="R24" s="100"/>
      <c r="S24" s="101"/>
      <c r="T24" s="97"/>
      <c r="U24" s="100"/>
      <c r="V24" s="102"/>
      <c r="W24" s="106" t="str">
        <f t="shared" si="4"/>
        <v/>
      </c>
      <c r="X24" s="107" t="str">
        <f t="shared" si="4"/>
        <v/>
      </c>
      <c r="Y24" s="152">
        <f t="shared" si="5"/>
        <v>0.99305555555555558</v>
      </c>
    </row>
    <row r="25" spans="1:25" ht="16.2" thickBot="1" x14ac:dyDescent="0.35">
      <c r="A25" s="109" t="s">
        <v>113</v>
      </c>
      <c r="B25" s="127"/>
      <c r="C25" s="118"/>
      <c r="D25" s="118">
        <f>+DIABLO!G16</f>
        <v>0.24791666666666667</v>
      </c>
      <c r="E25" s="110"/>
      <c r="F25" s="98"/>
      <c r="G25" s="98">
        <f>+DIABLO!G17</f>
        <v>0.25</v>
      </c>
      <c r="H25" s="110"/>
      <c r="I25" s="98"/>
      <c r="J25" s="98">
        <f>+DIABLO!G18</f>
        <v>0.2416666666666667</v>
      </c>
      <c r="K25" s="110"/>
      <c r="L25" s="98"/>
      <c r="M25" s="98">
        <f>+DIABLO!G19</f>
        <v>0.24583333333333324</v>
      </c>
      <c r="N25" s="110"/>
      <c r="O25" s="98"/>
      <c r="P25" s="98">
        <f>+DIABLO!G20</f>
        <v>0.25138888888888877</v>
      </c>
      <c r="Q25" s="110"/>
      <c r="R25" s="111"/>
      <c r="S25" s="112"/>
      <c r="T25" s="110"/>
      <c r="U25" s="111"/>
      <c r="V25" s="113"/>
      <c r="W25" s="114" t="str">
        <f t="shared" si="4"/>
        <v/>
      </c>
      <c r="X25" s="115" t="str">
        <f t="shared" si="4"/>
        <v/>
      </c>
      <c r="Y25" s="153">
        <f t="shared" si="5"/>
        <v>0.24736111111111106</v>
      </c>
    </row>
    <row r="26" spans="1:25" ht="16.2" thickBot="1" x14ac:dyDescent="0.35">
      <c r="A26" s="95" t="s">
        <v>118</v>
      </c>
      <c r="B26" s="189" t="s">
        <v>110</v>
      </c>
      <c r="C26" s="190"/>
      <c r="D26" s="191"/>
      <c r="E26" s="185" t="s">
        <v>110</v>
      </c>
      <c r="F26" s="186"/>
      <c r="G26" s="187"/>
      <c r="H26" s="185" t="s">
        <v>110</v>
      </c>
      <c r="I26" s="186"/>
      <c r="J26" s="187"/>
      <c r="K26" s="185" t="s">
        <v>110</v>
      </c>
      <c r="L26" s="186"/>
      <c r="M26" s="187"/>
      <c r="N26" s="185" t="s">
        <v>110</v>
      </c>
      <c r="O26" s="186"/>
      <c r="P26" s="187"/>
      <c r="Q26" s="185" t="s">
        <v>110</v>
      </c>
      <c r="R26" s="186"/>
      <c r="S26" s="187"/>
      <c r="T26" s="185" t="s">
        <v>110</v>
      </c>
      <c r="U26" s="186"/>
      <c r="V26" s="186"/>
      <c r="W26" s="188" t="s">
        <v>110</v>
      </c>
      <c r="X26" s="186"/>
      <c r="Y26" s="192"/>
    </row>
    <row r="27" spans="1:25" x14ac:dyDescent="0.3">
      <c r="A27" s="96" t="s">
        <v>111</v>
      </c>
      <c r="B27" s="117"/>
      <c r="C27" s="118">
        <f>+'PIPA N'!D3</f>
        <v>0.34027777777777773</v>
      </c>
      <c r="D27" s="119"/>
      <c r="E27" s="97"/>
      <c r="F27" s="98">
        <f>+'PIPA N'!D4</f>
        <v>0.34375</v>
      </c>
      <c r="G27" s="98"/>
      <c r="H27" s="97"/>
      <c r="I27" s="98">
        <f>+'PIPA N'!D5</f>
        <v>0.34027777777777773</v>
      </c>
      <c r="J27" s="98"/>
      <c r="K27" s="97"/>
      <c r="L27" s="98">
        <f>+'PIPA N'!D6</f>
        <v>0.33680555555555558</v>
      </c>
      <c r="M27" s="98"/>
      <c r="N27" s="97"/>
      <c r="O27" s="98">
        <f>+'PIPA N'!D7</f>
        <v>0.33819444444444446</v>
      </c>
      <c r="P27" s="98"/>
      <c r="Q27" s="97"/>
      <c r="R27" s="100"/>
      <c r="S27" s="101"/>
      <c r="T27" s="97"/>
      <c r="U27" s="100"/>
      <c r="V27" s="102"/>
      <c r="W27" s="103" t="str">
        <f>IFERROR(AVERAGE(B27,E27,H27,K27,N27,Q27,T27),"")</f>
        <v/>
      </c>
      <c r="X27" s="104">
        <f t="shared" ref="X27:Y29" si="6">IFERROR(AVERAGE(C27,F27,I27,L27,O27,R27,U27),"")</f>
        <v>0.33986111111111106</v>
      </c>
      <c r="Y27" s="151" t="str">
        <f t="shared" si="6"/>
        <v/>
      </c>
    </row>
    <row r="28" spans="1:25" x14ac:dyDescent="0.3">
      <c r="A28" s="134" t="s">
        <v>112</v>
      </c>
      <c r="B28" s="147"/>
      <c r="C28" s="118">
        <f>+'PIPA N'!J3</f>
        <v>0.65972222222222221</v>
      </c>
      <c r="D28" s="174"/>
      <c r="E28" s="135"/>
      <c r="F28" s="98">
        <f>+'PIPA N'!J4</f>
        <v>0.65972222222222221</v>
      </c>
      <c r="G28" s="98"/>
      <c r="H28" s="135"/>
      <c r="I28" s="98">
        <f>+'PIPA N'!J5</f>
        <v>0.65972222222222221</v>
      </c>
      <c r="J28" s="98"/>
      <c r="K28" s="135"/>
      <c r="L28" s="98">
        <f>+'PIPA N'!J6</f>
        <v>0.65972222222222221</v>
      </c>
      <c r="M28" s="98"/>
      <c r="N28" s="135"/>
      <c r="O28" s="98">
        <f>+'PIPA N'!J7</f>
        <v>0.65972222222222221</v>
      </c>
      <c r="P28" s="98"/>
      <c r="Q28" s="135"/>
      <c r="R28" s="136"/>
      <c r="S28" s="137"/>
      <c r="T28" s="135"/>
      <c r="U28" s="136"/>
      <c r="V28" s="138"/>
      <c r="W28" s="106" t="str">
        <f>IFERROR(AVERAGE(B28,E28,H28,K28,N28,Q28,T28),"")</f>
        <v/>
      </c>
      <c r="X28" s="107">
        <f t="shared" si="6"/>
        <v>0.65972222222222221</v>
      </c>
      <c r="Y28" s="152" t="str">
        <f t="shared" si="6"/>
        <v/>
      </c>
    </row>
    <row r="29" spans="1:25" ht="16.2" thickBot="1" x14ac:dyDescent="0.35">
      <c r="A29" s="109" t="s">
        <v>113</v>
      </c>
      <c r="B29" s="127"/>
      <c r="C29" s="118">
        <f>+'PIPA N'!G16</f>
        <v>0.24444444444444435</v>
      </c>
      <c r="D29" s="175"/>
      <c r="E29" s="110"/>
      <c r="F29" s="98">
        <f>+'PIPA N'!G17</f>
        <v>0.24999999999999994</v>
      </c>
      <c r="G29" s="98"/>
      <c r="H29" s="110"/>
      <c r="I29" s="98">
        <f>+'PIPA N'!G18</f>
        <v>0.24652777777777779</v>
      </c>
      <c r="J29" s="98"/>
      <c r="K29" s="110"/>
      <c r="L29" s="98">
        <f>+'PIPA N'!G19</f>
        <v>0.24791666666666667</v>
      </c>
      <c r="M29" s="98"/>
      <c r="N29" s="110"/>
      <c r="O29" s="98">
        <f>+'PIPA N'!G20</f>
        <v>0.24861111111111123</v>
      </c>
      <c r="P29" s="98"/>
      <c r="Q29" s="110"/>
      <c r="R29" s="111"/>
      <c r="S29" s="112"/>
      <c r="T29" s="110"/>
      <c r="U29" s="111"/>
      <c r="V29" s="113"/>
      <c r="W29" s="114" t="str">
        <f>IFERROR(AVERAGE(B29,E29,H29,K29,N29,Q29,T29),"")</f>
        <v/>
      </c>
      <c r="X29" s="115">
        <f t="shared" si="6"/>
        <v>0.2475</v>
      </c>
      <c r="Y29" s="153" t="str">
        <f t="shared" si="6"/>
        <v/>
      </c>
    </row>
    <row r="30" spans="1:25" ht="16.2" thickBot="1" x14ac:dyDescent="0.35">
      <c r="A30" s="95" t="s">
        <v>119</v>
      </c>
      <c r="B30" s="189" t="s">
        <v>110</v>
      </c>
      <c r="C30" s="190"/>
      <c r="D30" s="191"/>
      <c r="E30" s="185" t="s">
        <v>110</v>
      </c>
      <c r="F30" s="186"/>
      <c r="G30" s="187"/>
      <c r="H30" s="185" t="s">
        <v>110</v>
      </c>
      <c r="I30" s="186"/>
      <c r="J30" s="187"/>
      <c r="K30" s="185" t="s">
        <v>110</v>
      </c>
      <c r="L30" s="186"/>
      <c r="M30" s="187"/>
      <c r="N30" s="185" t="s">
        <v>110</v>
      </c>
      <c r="O30" s="186"/>
      <c r="P30" s="187"/>
      <c r="Q30" s="185" t="s">
        <v>110</v>
      </c>
      <c r="R30" s="186"/>
      <c r="S30" s="187"/>
      <c r="T30" s="185" t="s">
        <v>110</v>
      </c>
      <c r="U30" s="186"/>
      <c r="V30" s="186"/>
      <c r="W30" s="188" t="s">
        <v>110</v>
      </c>
      <c r="X30" s="186"/>
      <c r="Y30" s="192"/>
    </row>
    <row r="31" spans="1:25" x14ac:dyDescent="0.3">
      <c r="A31" s="96" t="s">
        <v>111</v>
      </c>
      <c r="B31" s="117"/>
      <c r="C31" s="118">
        <f>+'CH colon'!D3</f>
        <v>0.3125</v>
      </c>
      <c r="D31" s="118"/>
      <c r="E31" s="97"/>
      <c r="F31" s="98">
        <f>+'CH colon'!D4</f>
        <v>0.31597222222222221</v>
      </c>
      <c r="G31" s="98"/>
      <c r="H31" s="97"/>
      <c r="I31" s="98">
        <f>+'CH colon'!D5</f>
        <v>0.30902777777777779</v>
      </c>
      <c r="J31" s="98"/>
      <c r="K31" s="97"/>
      <c r="L31" s="98">
        <f>+'CH colon'!D6</f>
        <v>0.30902777777777779</v>
      </c>
      <c r="M31" s="98"/>
      <c r="N31" s="97"/>
      <c r="O31" s="98">
        <f>+'CH colon'!D7</f>
        <v>0.31111111111111112</v>
      </c>
      <c r="P31" s="98"/>
      <c r="Q31" s="97"/>
      <c r="R31" s="100"/>
      <c r="S31" s="101"/>
      <c r="T31" s="97"/>
      <c r="U31" s="100"/>
      <c r="V31" s="102"/>
      <c r="W31" s="103" t="str">
        <f>IFERROR(AVERAGE(B31,E31,H31,K31,N31,Q31,T31),"")</f>
        <v/>
      </c>
      <c r="X31" s="104">
        <f t="shared" ref="X31:Y33" si="7">IFERROR(AVERAGE(C31,F31,I31,L31,O31,R31,U31),"")</f>
        <v>0.31152777777777774</v>
      </c>
      <c r="Y31" s="105" t="str">
        <f t="shared" si="7"/>
        <v/>
      </c>
    </row>
    <row r="32" spans="1:25" x14ac:dyDescent="0.3">
      <c r="A32" s="96" t="s">
        <v>112</v>
      </c>
      <c r="B32" s="117"/>
      <c r="C32" s="118">
        <f>+'CH colon'!J3</f>
        <v>0.65625</v>
      </c>
      <c r="D32" s="118"/>
      <c r="E32" s="97"/>
      <c r="F32" s="98">
        <f>+'CH colon'!J4</f>
        <v>0.65625</v>
      </c>
      <c r="G32" s="98"/>
      <c r="H32" s="97"/>
      <c r="I32" s="98">
        <f>+'CH colon'!J5</f>
        <v>0.65625</v>
      </c>
      <c r="J32" s="98"/>
      <c r="K32" s="97"/>
      <c r="L32" s="98">
        <f>+'CH colon'!J6</f>
        <v>0.65972222222222221</v>
      </c>
      <c r="M32" s="98"/>
      <c r="N32" s="97"/>
      <c r="O32" s="98">
        <f>+'CH colon'!J7</f>
        <v>0.65972222222222221</v>
      </c>
      <c r="P32" s="98"/>
      <c r="Q32" s="97"/>
      <c r="R32" s="100"/>
      <c r="S32" s="101"/>
      <c r="T32" s="97"/>
      <c r="U32" s="100"/>
      <c r="V32" s="102"/>
      <c r="W32" s="106" t="str">
        <f>IFERROR(AVERAGE(B32,E32,H32,K32,N32,Q32,T32),"")</f>
        <v/>
      </c>
      <c r="X32" s="107">
        <f t="shared" si="7"/>
        <v>0.65763888888888888</v>
      </c>
      <c r="Y32" s="108" t="str">
        <f t="shared" si="7"/>
        <v/>
      </c>
    </row>
    <row r="33" spans="1:25" ht="16.2" thickBot="1" x14ac:dyDescent="0.35">
      <c r="A33" s="109" t="s">
        <v>113</v>
      </c>
      <c r="B33" s="127"/>
      <c r="C33" s="118">
        <f>+'CH colon'!G16</f>
        <v>0.27152777777777781</v>
      </c>
      <c r="D33" s="118"/>
      <c r="E33" s="110"/>
      <c r="F33" s="98">
        <f>+'CH colon'!G17</f>
        <v>0.2638888888888889</v>
      </c>
      <c r="G33" s="98"/>
      <c r="H33" s="110"/>
      <c r="I33" s="98">
        <f>+'CH colon'!G18</f>
        <v>0.27083333333333326</v>
      </c>
      <c r="J33" s="98"/>
      <c r="K33" s="110"/>
      <c r="L33" s="98">
        <f>+'CH colon'!G19</f>
        <v>0.27083333333333326</v>
      </c>
      <c r="M33" s="98"/>
      <c r="N33" s="110"/>
      <c r="O33" s="98">
        <f>+'CH colon'!G20</f>
        <v>0.27638888888888891</v>
      </c>
      <c r="P33" s="98"/>
      <c r="Q33" s="110"/>
      <c r="R33" s="111"/>
      <c r="S33" s="112"/>
      <c r="T33" s="110"/>
      <c r="U33" s="111"/>
      <c r="V33" s="113"/>
      <c r="W33" s="114" t="str">
        <f>IFERROR(AVERAGE(B33,E33,H33,K33,N33,Q33,T33),"")</f>
        <v/>
      </c>
      <c r="X33" s="115">
        <f t="shared" si="7"/>
        <v>0.2706944444444444</v>
      </c>
      <c r="Y33" s="116" t="str">
        <f t="shared" si="7"/>
        <v/>
      </c>
    </row>
    <row r="34" spans="1:25" ht="16.2" thickBot="1" x14ac:dyDescent="0.35">
      <c r="A34" s="95" t="s">
        <v>92</v>
      </c>
      <c r="B34" s="189" t="s">
        <v>110</v>
      </c>
      <c r="C34" s="190"/>
      <c r="D34" s="191"/>
      <c r="E34" s="185" t="s">
        <v>110</v>
      </c>
      <c r="F34" s="186"/>
      <c r="G34" s="187"/>
      <c r="H34" s="185" t="s">
        <v>110</v>
      </c>
      <c r="I34" s="186"/>
      <c r="J34" s="187"/>
      <c r="K34" s="185" t="s">
        <v>110</v>
      </c>
      <c r="L34" s="186"/>
      <c r="M34" s="187"/>
      <c r="N34" s="185" t="s">
        <v>110</v>
      </c>
      <c r="O34" s="186"/>
      <c r="P34" s="187"/>
      <c r="Q34" s="185" t="s">
        <v>110</v>
      </c>
      <c r="R34" s="186"/>
      <c r="S34" s="187"/>
      <c r="T34" s="185" t="s">
        <v>110</v>
      </c>
      <c r="U34" s="186"/>
      <c r="V34" s="186"/>
      <c r="W34" s="188" t="s">
        <v>110</v>
      </c>
      <c r="X34" s="186"/>
      <c r="Y34" s="192"/>
    </row>
    <row r="35" spans="1:25" x14ac:dyDescent="0.3">
      <c r="A35" s="96" t="s">
        <v>111</v>
      </c>
      <c r="B35" s="117"/>
      <c r="C35" s="118">
        <f>+Salvataje!D3</f>
        <v>0.33333333333333331</v>
      </c>
      <c r="D35" s="121"/>
      <c r="E35" s="97"/>
      <c r="F35" s="98">
        <f>+Salvataje!D4</f>
        <v>0.33680555555555558</v>
      </c>
      <c r="G35" s="101"/>
      <c r="H35" s="97"/>
      <c r="I35" s="98">
        <f>+Salvataje!D5</f>
        <v>0.33680555555555558</v>
      </c>
      <c r="J35" s="101"/>
      <c r="K35" s="97"/>
      <c r="L35" s="98">
        <f>+Salvataje!D6</f>
        <v>0.34027777777777773</v>
      </c>
      <c r="M35" s="101"/>
      <c r="N35" s="97"/>
      <c r="O35" s="98">
        <f>+Salvataje!D7</f>
        <v>0.33680555555555558</v>
      </c>
      <c r="P35" s="101"/>
      <c r="Q35" s="97"/>
      <c r="R35" s="100"/>
      <c r="S35" s="101"/>
      <c r="T35" s="97"/>
      <c r="U35" s="100"/>
      <c r="V35" s="102"/>
      <c r="W35" s="103" t="str">
        <f>IFERROR(AVERAGE(B35,E35,H35,K35,N35,Q35,T35),"")</f>
        <v/>
      </c>
      <c r="X35" s="104">
        <f t="shared" ref="X35:Y37" si="8">IFERROR(AVERAGE(C35,F35,I35,L35,O35,R35,U35),"")</f>
        <v>0.33680555555555552</v>
      </c>
      <c r="Y35" s="105" t="str">
        <f t="shared" si="8"/>
        <v/>
      </c>
    </row>
    <row r="36" spans="1:25" x14ac:dyDescent="0.3">
      <c r="A36" s="96" t="s">
        <v>112</v>
      </c>
      <c r="B36" s="117"/>
      <c r="C36" s="118">
        <f>+Salvataje!J3</f>
        <v>0.65625</v>
      </c>
      <c r="D36" s="121"/>
      <c r="E36" s="97"/>
      <c r="F36" s="98">
        <f>+Salvataje!J4</f>
        <v>0.65972222222222221</v>
      </c>
      <c r="G36" s="101"/>
      <c r="H36" s="97"/>
      <c r="I36" s="98">
        <f>+Salvataje!J5</f>
        <v>0.83333333333333337</v>
      </c>
      <c r="J36" s="101"/>
      <c r="K36" s="97"/>
      <c r="L36" s="98">
        <f>+Salvataje!J6</f>
        <v>0.82291666666666663</v>
      </c>
      <c r="M36" s="101"/>
      <c r="N36" s="97"/>
      <c r="O36" s="98">
        <f>+Salvataje!J7</f>
        <v>0.71527777777777779</v>
      </c>
      <c r="P36" s="101"/>
      <c r="Q36" s="97"/>
      <c r="R36" s="100"/>
      <c r="S36" s="101"/>
      <c r="T36" s="97"/>
      <c r="U36" s="100"/>
      <c r="V36" s="102"/>
      <c r="W36" s="106" t="str">
        <f>IFERROR(AVERAGE(B36,E36,H36,K36,N36,Q36,T36),"")</f>
        <v/>
      </c>
      <c r="X36" s="107">
        <f t="shared" si="8"/>
        <v>0.73750000000000004</v>
      </c>
      <c r="Y36" s="108" t="str">
        <f t="shared" si="8"/>
        <v/>
      </c>
    </row>
    <row r="37" spans="1:25" ht="16.2" thickBot="1" x14ac:dyDescent="0.35">
      <c r="A37" s="109" t="s">
        <v>113</v>
      </c>
      <c r="B37" s="127"/>
      <c r="C37" s="118">
        <f>+Salvataje!G16</f>
        <v>0.25694444444444442</v>
      </c>
      <c r="D37" s="130"/>
      <c r="E37" s="110"/>
      <c r="F37" s="98">
        <f>+Salvataje!G17</f>
        <v>0.25555555555555559</v>
      </c>
      <c r="G37" s="112"/>
      <c r="H37" s="110"/>
      <c r="I37" s="98">
        <f>+Salvataje!G18</f>
        <v>0.24652777777777779</v>
      </c>
      <c r="J37" s="112"/>
      <c r="K37" s="110"/>
      <c r="L37" s="98">
        <f>+Salvataje!G19</f>
        <v>0.2326388888888889</v>
      </c>
      <c r="M37" s="112"/>
      <c r="N37" s="110"/>
      <c r="O37" s="98">
        <f>+Salvataje!G20</f>
        <v>0.3020833333333332</v>
      </c>
      <c r="P37" s="112"/>
      <c r="Q37" s="110"/>
      <c r="R37" s="111"/>
      <c r="S37" s="112"/>
      <c r="T37" s="110"/>
      <c r="U37" s="111"/>
      <c r="V37" s="113"/>
      <c r="W37" s="114" t="str">
        <f>IFERROR(AVERAGE(B37,E37,H37,K37,N37,Q37,T37),"")</f>
        <v/>
      </c>
      <c r="X37" s="115">
        <f t="shared" si="8"/>
        <v>0.25874999999999998</v>
      </c>
      <c r="Y37" s="116" t="str">
        <f t="shared" si="8"/>
        <v/>
      </c>
    </row>
    <row r="38" spans="1:25" ht="16.2" thickBot="1" x14ac:dyDescent="0.35">
      <c r="A38" s="95" t="s">
        <v>86</v>
      </c>
      <c r="B38" s="189" t="s">
        <v>110</v>
      </c>
      <c r="C38" s="190"/>
      <c r="D38" s="191"/>
      <c r="E38" s="185" t="s">
        <v>110</v>
      </c>
      <c r="F38" s="186"/>
      <c r="G38" s="187"/>
      <c r="H38" s="185" t="s">
        <v>110</v>
      </c>
      <c r="I38" s="186"/>
      <c r="J38" s="187"/>
      <c r="K38" s="185" t="s">
        <v>110</v>
      </c>
      <c r="L38" s="186"/>
      <c r="M38" s="187"/>
      <c r="N38" s="185" t="s">
        <v>110</v>
      </c>
      <c r="O38" s="186"/>
      <c r="P38" s="187"/>
      <c r="Q38" s="185" t="s">
        <v>110</v>
      </c>
      <c r="R38" s="186"/>
      <c r="S38" s="187"/>
      <c r="T38" s="185" t="s">
        <v>110</v>
      </c>
      <c r="U38" s="186"/>
      <c r="V38" s="186"/>
      <c r="W38" s="188" t="s">
        <v>110</v>
      </c>
      <c r="X38" s="186"/>
      <c r="Y38" s="192"/>
    </row>
    <row r="39" spans="1:25" x14ac:dyDescent="0.3">
      <c r="A39" s="96" t="s">
        <v>111</v>
      </c>
      <c r="B39" s="117"/>
      <c r="C39" s="118">
        <f>+'La junta'!D3</f>
        <v>0.3125</v>
      </c>
      <c r="D39" s="121"/>
      <c r="E39" s="97"/>
      <c r="F39" s="98">
        <f>+'La junta'!D4</f>
        <v>0.31458333333333333</v>
      </c>
      <c r="G39" s="99"/>
      <c r="H39" s="97"/>
      <c r="I39" s="98">
        <f>+'La junta'!D5</f>
        <v>0.3125</v>
      </c>
      <c r="J39" s="99"/>
      <c r="K39" s="97"/>
      <c r="L39" s="98">
        <f>+'La junta'!D6</f>
        <v>0.3125</v>
      </c>
      <c r="M39" s="99"/>
      <c r="N39" s="97"/>
      <c r="O39" s="98">
        <f>+'La junta'!D7</f>
        <v>0.31458333333333333</v>
      </c>
      <c r="P39" s="99"/>
      <c r="Q39" s="97"/>
      <c r="R39" s="100"/>
      <c r="S39" s="101"/>
      <c r="T39" s="97"/>
      <c r="U39" s="100"/>
      <c r="V39" s="102"/>
      <c r="W39" s="103" t="str">
        <f>IFERROR(AVERAGE(B39,E39,H39,K39,N39,Q39,T39),"")</f>
        <v/>
      </c>
      <c r="X39" s="104">
        <f>IFERROR(AVERAGE(C39,F39,I39,L39,O39,R39,U39),"")</f>
        <v>0.3133333333333333</v>
      </c>
      <c r="Y39" s="105" t="str">
        <f>IFERROR(AVERAGE(D39,G39,J39,M39,P39,S39,V39),"")</f>
        <v/>
      </c>
    </row>
    <row r="40" spans="1:25" x14ac:dyDescent="0.3">
      <c r="A40" s="96" t="s">
        <v>112</v>
      </c>
      <c r="B40" s="117"/>
      <c r="C40" s="118">
        <f>+'La junta'!J3</f>
        <v>0.65972222222222221</v>
      </c>
      <c r="D40" s="121"/>
      <c r="E40" s="97"/>
      <c r="F40" s="98">
        <f>+'La junta'!J4</f>
        <v>0.65972222222222221</v>
      </c>
      <c r="G40" s="99"/>
      <c r="H40" s="97"/>
      <c r="I40" s="98">
        <f>+'La junta'!J5</f>
        <v>0.65972222222222221</v>
      </c>
      <c r="J40" s="99"/>
      <c r="K40" s="97"/>
      <c r="L40" s="98">
        <f>+'La junta'!J6</f>
        <v>0.65972222222222221</v>
      </c>
      <c r="M40" s="99"/>
      <c r="N40" s="97"/>
      <c r="O40" s="98">
        <f>+'La junta'!J7</f>
        <v>0.65972222222222221</v>
      </c>
      <c r="P40" s="99"/>
      <c r="Q40" s="97"/>
      <c r="R40" s="100"/>
      <c r="S40" s="101"/>
      <c r="T40" s="97"/>
      <c r="U40" s="100"/>
      <c r="V40" s="102"/>
      <c r="W40" s="106" t="str">
        <f>IFERROR(AVERAGE(B40,E40,H40,K40,N40,Q40,T40),"")</f>
        <v/>
      </c>
      <c r="X40" s="107">
        <f t="shared" ref="X40:X41" si="9">IFERROR(AVERAGE(C40,F40,I40,L40,O40,R40,U40),"")</f>
        <v>0.65972222222222221</v>
      </c>
      <c r="Y40" s="108" t="str">
        <f>IFERROR(AVERAGE(D40,G40,J40,M40,P40,S40,V40),"")</f>
        <v/>
      </c>
    </row>
    <row r="41" spans="1:25" ht="16.2" thickBot="1" x14ac:dyDescent="0.35">
      <c r="A41" s="109" t="s">
        <v>113</v>
      </c>
      <c r="B41" s="127"/>
      <c r="C41" s="128">
        <f>+'La junta'!G16</f>
        <v>0.28680555555555559</v>
      </c>
      <c r="D41" s="130"/>
      <c r="E41" s="110"/>
      <c r="F41" s="139">
        <f>+'La junta'!G17</f>
        <v>0.2916666666666668</v>
      </c>
      <c r="G41" s="99"/>
      <c r="H41" s="110"/>
      <c r="I41" s="139">
        <f>+'La junta'!G18</f>
        <v>0.28263888888888888</v>
      </c>
      <c r="J41" s="99"/>
      <c r="K41" s="110"/>
      <c r="L41" s="139">
        <f>+'La junta'!G19</f>
        <v>0.2909722222222223</v>
      </c>
      <c r="M41" s="99"/>
      <c r="N41" s="110"/>
      <c r="O41" s="139">
        <f>+'La junta'!G20</f>
        <v>0.28819444444444448</v>
      </c>
      <c r="P41" s="99"/>
      <c r="Q41" s="110"/>
      <c r="R41" s="111"/>
      <c r="S41" s="112"/>
      <c r="T41" s="110"/>
      <c r="U41" s="111"/>
      <c r="V41" s="113"/>
      <c r="W41" s="114" t="str">
        <f>IFERROR(AVERAGE(B41,E41,H41,K41,N41,Q41,T41),"")</f>
        <v/>
      </c>
      <c r="X41" s="115">
        <f t="shared" si="9"/>
        <v>0.28805555555555562</v>
      </c>
      <c r="Y41" s="116" t="str">
        <f>IFERROR(AVERAGE(D41,G41,J41,M41,P41,S41,V41),"")</f>
        <v/>
      </c>
    </row>
    <row r="42" spans="1:25" ht="16.2" thickBot="1" x14ac:dyDescent="0.35">
      <c r="A42" s="95" t="s">
        <v>62</v>
      </c>
      <c r="B42" s="189" t="s">
        <v>110</v>
      </c>
      <c r="C42" s="190"/>
      <c r="D42" s="191"/>
      <c r="E42" s="185" t="s">
        <v>110</v>
      </c>
      <c r="F42" s="186"/>
      <c r="G42" s="187"/>
      <c r="H42" s="185" t="s">
        <v>110</v>
      </c>
      <c r="I42" s="186"/>
      <c r="J42" s="187"/>
      <c r="K42" s="185" t="s">
        <v>110</v>
      </c>
      <c r="L42" s="186"/>
      <c r="M42" s="187"/>
      <c r="N42" s="185" t="s">
        <v>110</v>
      </c>
      <c r="O42" s="186"/>
      <c r="P42" s="187"/>
      <c r="Q42" s="185" t="s">
        <v>110</v>
      </c>
      <c r="R42" s="186"/>
      <c r="S42" s="187"/>
      <c r="T42" s="185" t="s">
        <v>110</v>
      </c>
      <c r="U42" s="186"/>
      <c r="V42" s="186"/>
      <c r="W42" s="188" t="s">
        <v>110</v>
      </c>
      <c r="X42" s="186"/>
      <c r="Y42" s="192"/>
    </row>
    <row r="43" spans="1:25" x14ac:dyDescent="0.3">
      <c r="A43" s="96" t="s">
        <v>111</v>
      </c>
      <c r="B43" s="117"/>
      <c r="C43" s="176">
        <f>+AC!D3</f>
        <v>0.30902777777777779</v>
      </c>
      <c r="D43" s="176"/>
      <c r="E43" s="97"/>
      <c r="F43" s="143">
        <f>+AC!D4</f>
        <v>0.3125</v>
      </c>
      <c r="G43" s="143"/>
      <c r="H43" s="97"/>
      <c r="I43" s="143">
        <f>+AC!D5</f>
        <v>0.3125</v>
      </c>
      <c r="J43" s="143"/>
      <c r="K43" s="97"/>
      <c r="L43" s="143">
        <f>+AC!D6</f>
        <v>0.3125</v>
      </c>
      <c r="M43" s="143"/>
      <c r="N43" s="97"/>
      <c r="O43" s="143">
        <f>+AC!D7</f>
        <v>0.31597222222222221</v>
      </c>
      <c r="P43" s="143"/>
      <c r="Q43" s="97"/>
      <c r="R43" s="100"/>
      <c r="S43" s="101"/>
      <c r="T43" s="97"/>
      <c r="U43" s="100"/>
      <c r="V43" s="102"/>
      <c r="W43" s="103" t="str">
        <f>IFERROR(AVERAGE(B43,E43,H43,K43,N43,Q43,T43),"")</f>
        <v/>
      </c>
      <c r="X43" s="104">
        <f t="shared" ref="X43:Y45" si="10">IFERROR(AVERAGE(C43,F43,I43,L43,O43,R43,U43),"")</f>
        <v>0.3125</v>
      </c>
      <c r="Y43" s="104" t="str">
        <f t="shared" si="10"/>
        <v/>
      </c>
    </row>
    <row r="44" spans="1:25" x14ac:dyDescent="0.3">
      <c r="A44" s="96" t="s">
        <v>112</v>
      </c>
      <c r="B44" s="117"/>
      <c r="C44" s="118">
        <f>+AC!J3</f>
        <v>0.65277777777777779</v>
      </c>
      <c r="D44" s="118"/>
      <c r="E44" s="97"/>
      <c r="F44" s="98">
        <f>+AC!J4</f>
        <v>0.65972222222222221</v>
      </c>
      <c r="G44" s="98"/>
      <c r="H44" s="97"/>
      <c r="I44" s="98">
        <f>+AC!J5</f>
        <v>0.65625</v>
      </c>
      <c r="J44" s="98"/>
      <c r="K44" s="97"/>
      <c r="L44" s="98">
        <f>+AC!J6</f>
        <v>0.65625</v>
      </c>
      <c r="M44" s="98"/>
      <c r="N44" s="97"/>
      <c r="O44" s="98">
        <f>+AC!J7</f>
        <v>0.65277777777777779</v>
      </c>
      <c r="P44" s="98"/>
      <c r="Q44" s="97"/>
      <c r="R44" s="100"/>
      <c r="S44" s="101"/>
      <c r="T44" s="97"/>
      <c r="U44" s="100"/>
      <c r="V44" s="102"/>
      <c r="W44" s="106" t="str">
        <f>IFERROR(AVERAGE(B44,E44,H44,K44,N44,Q44,T44),"")</f>
        <v/>
      </c>
      <c r="X44" s="107">
        <f t="shared" si="10"/>
        <v>0.65555555555555556</v>
      </c>
      <c r="Y44" s="107" t="str">
        <f t="shared" si="10"/>
        <v/>
      </c>
    </row>
    <row r="45" spans="1:25" ht="16.2" thickBot="1" x14ac:dyDescent="0.35">
      <c r="A45" s="109" t="s">
        <v>113</v>
      </c>
      <c r="B45" s="127"/>
      <c r="C45" s="128">
        <f>+AC!G16</f>
        <v>0.25694444444444448</v>
      </c>
      <c r="D45" s="128"/>
      <c r="E45" s="110"/>
      <c r="F45" s="139">
        <f>+AC!G17</f>
        <v>0.2673611111111111</v>
      </c>
      <c r="G45" s="139"/>
      <c r="H45" s="110"/>
      <c r="I45" s="139">
        <f>+AC!G18</f>
        <v>0.2673611111111111</v>
      </c>
      <c r="J45" s="139"/>
      <c r="K45" s="110"/>
      <c r="L45" s="139">
        <f>+AC!G19</f>
        <v>0.2722222222222222</v>
      </c>
      <c r="M45" s="139"/>
      <c r="N45" s="110"/>
      <c r="O45" s="139">
        <f>+AC!G20</f>
        <v>0.24999999999999989</v>
      </c>
      <c r="P45" s="139"/>
      <c r="Q45" s="110"/>
      <c r="R45" s="111"/>
      <c r="S45" s="112"/>
      <c r="T45" s="110"/>
      <c r="U45" s="111"/>
      <c r="V45" s="113"/>
      <c r="W45" s="114" t="str">
        <f>IFERROR(AVERAGE(B45,E45,H45,K45,N45,Q45,T45),"")</f>
        <v/>
      </c>
      <c r="X45" s="115">
        <f t="shared" si="10"/>
        <v>0.26277777777777772</v>
      </c>
      <c r="Y45" s="115" t="str">
        <f t="shared" si="10"/>
        <v/>
      </c>
    </row>
    <row r="46" spans="1:25" ht="16.2" thickBot="1" x14ac:dyDescent="0.35">
      <c r="A46" s="95" t="s">
        <v>120</v>
      </c>
      <c r="B46" s="189" t="s">
        <v>110</v>
      </c>
      <c r="C46" s="190"/>
      <c r="D46" s="191"/>
      <c r="E46" s="185" t="s">
        <v>110</v>
      </c>
      <c r="F46" s="186"/>
      <c r="G46" s="187"/>
      <c r="H46" s="185" t="s">
        <v>110</v>
      </c>
      <c r="I46" s="186"/>
      <c r="J46" s="187"/>
      <c r="K46" s="185" t="s">
        <v>110</v>
      </c>
      <c r="L46" s="186"/>
      <c r="M46" s="187"/>
      <c r="N46" s="185" t="s">
        <v>110</v>
      </c>
      <c r="O46" s="186"/>
      <c r="P46" s="187"/>
      <c r="Q46" s="185" t="s">
        <v>110</v>
      </c>
      <c r="R46" s="186"/>
      <c r="S46" s="187"/>
      <c r="T46" s="185" t="s">
        <v>110</v>
      </c>
      <c r="U46" s="186"/>
      <c r="V46" s="186"/>
      <c r="W46" s="188" t="s">
        <v>110</v>
      </c>
      <c r="X46" s="186"/>
      <c r="Y46" s="192"/>
    </row>
    <row r="47" spans="1:25" x14ac:dyDescent="0.3">
      <c r="A47" s="96" t="s">
        <v>111</v>
      </c>
      <c r="B47" s="117"/>
      <c r="C47" s="118"/>
      <c r="D47" s="118">
        <f>+Colec!D3</f>
        <v>0.64583333333333337</v>
      </c>
      <c r="E47" s="117"/>
      <c r="F47" s="118"/>
      <c r="G47" s="118">
        <f>+Colec!D4</f>
        <v>0.64583333333333337</v>
      </c>
      <c r="H47" s="117"/>
      <c r="I47" s="118"/>
      <c r="J47" s="118">
        <f>+Colec!D5</f>
        <v>0.64583333333333337</v>
      </c>
      <c r="K47" s="117"/>
      <c r="L47" s="118"/>
      <c r="M47" s="118">
        <f>+Colec!D6</f>
        <v>0.64583333333333337</v>
      </c>
      <c r="N47" s="117"/>
      <c r="O47" s="118"/>
      <c r="P47" s="118">
        <f>+Colec!D7</f>
        <v>0.64583333333333337</v>
      </c>
      <c r="Q47" s="117"/>
      <c r="R47" s="120"/>
      <c r="S47" s="121"/>
      <c r="T47" s="117"/>
      <c r="U47" s="120"/>
      <c r="V47" s="122"/>
      <c r="W47" s="123" t="str">
        <f>IFERROR(AVERAGE(B47,E47,H47,K47,N47,Q47,T47),"")</f>
        <v/>
      </c>
      <c r="X47" s="124" t="str">
        <f t="shared" ref="X47:Y49" si="11">IFERROR(AVERAGE(C47,F47,I47,L47,O47,R47,U47),"")</f>
        <v/>
      </c>
      <c r="Y47" s="124">
        <f t="shared" si="11"/>
        <v>0.64583333333333337</v>
      </c>
    </row>
    <row r="48" spans="1:25" x14ac:dyDescent="0.3">
      <c r="A48" s="96" t="s">
        <v>112</v>
      </c>
      <c r="B48" s="117"/>
      <c r="C48" s="118"/>
      <c r="D48" s="118">
        <f>+Colec!J3</f>
        <v>0.98611111111111116</v>
      </c>
      <c r="E48" s="117"/>
      <c r="F48" s="118"/>
      <c r="G48" s="118">
        <f>+Colec!J4</f>
        <v>0.98611111111111116</v>
      </c>
      <c r="H48" s="117"/>
      <c r="I48" s="118"/>
      <c r="J48" s="118">
        <f>+Colec!J5</f>
        <v>0.98611111111111116</v>
      </c>
      <c r="K48" s="117"/>
      <c r="L48" s="118"/>
      <c r="M48" s="118">
        <f>+Colec!J6</f>
        <v>0.98611111111111116</v>
      </c>
      <c r="N48" s="117"/>
      <c r="O48" s="118"/>
      <c r="P48" s="118">
        <f>+Colec!J7</f>
        <v>0.98611111111111116</v>
      </c>
      <c r="Q48" s="117"/>
      <c r="R48" s="120"/>
      <c r="S48" s="121"/>
      <c r="T48" s="117"/>
      <c r="U48" s="120"/>
      <c r="V48" s="122"/>
      <c r="W48" s="125" t="str">
        <f>IFERROR(AVERAGE(B48,E48,H48,K48,N48,Q48,T48),"")</f>
        <v/>
      </c>
      <c r="X48" s="126" t="str">
        <f t="shared" si="11"/>
        <v/>
      </c>
      <c r="Y48" s="126">
        <f t="shared" si="11"/>
        <v>0.98611111111111105</v>
      </c>
    </row>
    <row r="49" spans="1:25" ht="16.2" thickBot="1" x14ac:dyDescent="0.35">
      <c r="A49" s="109" t="s">
        <v>113</v>
      </c>
      <c r="B49" s="127"/>
      <c r="C49" s="118"/>
      <c r="D49" s="118">
        <f>+Colec!G16</f>
        <v>0.25</v>
      </c>
      <c r="E49" s="127"/>
      <c r="F49" s="118"/>
      <c r="G49" s="118">
        <f>+Colec!G17</f>
        <v>0.26458333333333339</v>
      </c>
      <c r="H49" s="127"/>
      <c r="I49" s="118"/>
      <c r="J49" s="118">
        <f>+Colec!G18</f>
        <v>0.27083333333333337</v>
      </c>
      <c r="K49" s="127"/>
      <c r="L49" s="118"/>
      <c r="M49" s="118">
        <f>+Colec!G19</f>
        <v>0.26041666666666674</v>
      </c>
      <c r="N49" s="127"/>
      <c r="O49" s="118"/>
      <c r="P49" s="118">
        <f>+Colec!G20</f>
        <v>0.25347222222222232</v>
      </c>
      <c r="Q49" s="127"/>
      <c r="R49" s="129"/>
      <c r="S49" s="130"/>
      <c r="T49" s="127"/>
      <c r="U49" s="129"/>
      <c r="V49" s="131"/>
      <c r="W49" s="132" t="str">
        <f>IFERROR(AVERAGE(B49,E49,H49,K49,N49,Q49,T49),"")</f>
        <v/>
      </c>
      <c r="X49" s="133" t="str">
        <f t="shared" si="11"/>
        <v/>
      </c>
      <c r="Y49" s="133">
        <f t="shared" si="11"/>
        <v>0.25986111111111115</v>
      </c>
    </row>
    <row r="50" spans="1:25" ht="16.2" thickBot="1" x14ac:dyDescent="0.35">
      <c r="A50" s="95" t="s">
        <v>61</v>
      </c>
      <c r="B50" s="189" t="s">
        <v>110</v>
      </c>
      <c r="C50" s="190"/>
      <c r="D50" s="191"/>
      <c r="E50" s="185" t="s">
        <v>110</v>
      </c>
      <c r="F50" s="186"/>
      <c r="G50" s="187"/>
      <c r="H50" s="185" t="s">
        <v>110</v>
      </c>
      <c r="I50" s="186"/>
      <c r="J50" s="187"/>
      <c r="K50" s="185" t="s">
        <v>110</v>
      </c>
      <c r="L50" s="186"/>
      <c r="M50" s="187"/>
      <c r="N50" s="185" t="s">
        <v>110</v>
      </c>
      <c r="O50" s="186"/>
      <c r="P50" s="187"/>
      <c r="Q50" s="185" t="s">
        <v>110</v>
      </c>
      <c r="R50" s="186"/>
      <c r="S50" s="187"/>
      <c r="T50" s="185" t="s">
        <v>110</v>
      </c>
      <c r="U50" s="186"/>
      <c r="V50" s="186"/>
      <c r="W50" s="188" t="s">
        <v>110</v>
      </c>
      <c r="X50" s="186"/>
      <c r="Y50" s="192"/>
    </row>
    <row r="51" spans="1:25" x14ac:dyDescent="0.3">
      <c r="A51" s="96" t="s">
        <v>111</v>
      </c>
      <c r="B51" s="117"/>
      <c r="C51" s="119">
        <f>+'P M'!D3</f>
        <v>0.3125</v>
      </c>
      <c r="D51" s="119"/>
      <c r="E51" s="97"/>
      <c r="F51" s="143">
        <f>+'P M'!D4</f>
        <v>0.3125</v>
      </c>
      <c r="G51" s="143"/>
      <c r="H51" s="97"/>
      <c r="I51" s="143">
        <f>+'P M'!D5</f>
        <v>0.3125</v>
      </c>
      <c r="J51" s="143"/>
      <c r="K51" s="97"/>
      <c r="L51" s="143">
        <f>+'P M'!D6</f>
        <v>0.3125</v>
      </c>
      <c r="M51" s="143"/>
      <c r="N51" s="97"/>
      <c r="O51" s="143">
        <f>+'P M'!D7</f>
        <v>0.3125</v>
      </c>
      <c r="P51" s="143"/>
      <c r="Q51" s="97"/>
      <c r="R51" s="100"/>
      <c r="S51" s="101"/>
      <c r="T51" s="97"/>
      <c r="U51" s="100"/>
      <c r="V51" s="102"/>
      <c r="W51" s="103" t="str">
        <f>IFERROR(AVERAGE(B51,E51,H51,K51,N51,Q51,T51),"")</f>
        <v/>
      </c>
      <c r="X51" s="104">
        <f t="shared" ref="X51:Y53" si="12">IFERROR(AVERAGE(C51,F51,I51,L51,O51,R51,U51),"")</f>
        <v>0.3125</v>
      </c>
      <c r="Y51" s="104" t="str">
        <f t="shared" si="12"/>
        <v/>
      </c>
    </row>
    <row r="52" spans="1:25" x14ac:dyDescent="0.3">
      <c r="A52" s="96" t="s">
        <v>112</v>
      </c>
      <c r="B52" s="117"/>
      <c r="C52" s="119">
        <f>+'P M'!J3</f>
        <v>0.65625</v>
      </c>
      <c r="D52" s="119"/>
      <c r="E52" s="97"/>
      <c r="F52" s="98">
        <f>+'P M'!J4</f>
        <v>0.65625</v>
      </c>
      <c r="G52" s="98"/>
      <c r="H52" s="97"/>
      <c r="I52" s="98">
        <f>+'P M'!J5</f>
        <v>0.65277777777777779</v>
      </c>
      <c r="J52" s="98"/>
      <c r="K52" s="97"/>
      <c r="L52" s="98">
        <f>+'P M'!J6</f>
        <v>0.65972222222222221</v>
      </c>
      <c r="M52" s="98"/>
      <c r="N52" s="97"/>
      <c r="O52" s="98">
        <f>+'P M'!J7</f>
        <v>0.65277777777777779</v>
      </c>
      <c r="P52" s="98"/>
      <c r="Q52" s="97"/>
      <c r="R52" s="100"/>
      <c r="S52" s="101"/>
      <c r="T52" s="97"/>
      <c r="U52" s="100"/>
      <c r="V52" s="102"/>
      <c r="W52" s="106" t="str">
        <f>IFERROR(AVERAGE(B52,E52,H52,K52,N52,Q52,T52),"")</f>
        <v/>
      </c>
      <c r="X52" s="107">
        <f t="shared" si="12"/>
        <v>0.65555555555555556</v>
      </c>
      <c r="Y52" s="107" t="str">
        <f t="shared" si="12"/>
        <v/>
      </c>
    </row>
    <row r="53" spans="1:25" ht="16.2" thickBot="1" x14ac:dyDescent="0.35">
      <c r="A53" s="109" t="s">
        <v>113</v>
      </c>
      <c r="B53" s="127"/>
      <c r="C53" s="119">
        <f>+'P M'!G16</f>
        <v>0.24652777777777779</v>
      </c>
      <c r="D53" s="119"/>
      <c r="E53" s="110"/>
      <c r="F53" s="139">
        <f>+'P M'!G17</f>
        <v>0.24652777777777785</v>
      </c>
      <c r="G53" s="139"/>
      <c r="H53" s="110"/>
      <c r="I53" s="139">
        <f>+'P M'!G19</f>
        <v>0.26041666666666657</v>
      </c>
      <c r="J53" s="139"/>
      <c r="K53" s="110"/>
      <c r="L53" s="139">
        <f>+'P M'!G20</f>
        <v>0.23958333333333343</v>
      </c>
      <c r="M53" s="139"/>
      <c r="N53" s="110"/>
      <c r="O53" s="139">
        <f>+'P M'!G21</f>
        <v>0.24722222222222223</v>
      </c>
      <c r="P53" s="139"/>
      <c r="Q53" s="110"/>
      <c r="R53" s="111"/>
      <c r="S53" s="112"/>
      <c r="T53" s="110"/>
      <c r="U53" s="111"/>
      <c r="V53" s="113"/>
      <c r="W53" s="114" t="str">
        <f>IFERROR(AVERAGE(B53,E53,H53,K53,N53,Q53,T53),"")</f>
        <v/>
      </c>
      <c r="X53" s="115">
        <f t="shared" si="12"/>
        <v>0.24805555555555556</v>
      </c>
      <c r="Y53" s="115" t="str">
        <f t="shared" si="12"/>
        <v/>
      </c>
    </row>
    <row r="54" spans="1:25" ht="16.2" thickBot="1" x14ac:dyDescent="0.35">
      <c r="A54" s="95" t="s">
        <v>82</v>
      </c>
      <c r="B54" s="189" t="s">
        <v>110</v>
      </c>
      <c r="C54" s="190"/>
      <c r="D54" s="191"/>
      <c r="E54" s="185" t="s">
        <v>110</v>
      </c>
      <c r="F54" s="186"/>
      <c r="G54" s="187"/>
      <c r="H54" s="185" t="s">
        <v>110</v>
      </c>
      <c r="I54" s="186"/>
      <c r="J54" s="187"/>
      <c r="K54" s="185" t="s">
        <v>110</v>
      </c>
      <c r="L54" s="186"/>
      <c r="M54" s="187"/>
      <c r="N54" s="185" t="s">
        <v>110</v>
      </c>
      <c r="O54" s="186"/>
      <c r="P54" s="187"/>
      <c r="Q54" s="185" t="s">
        <v>110</v>
      </c>
      <c r="R54" s="186"/>
      <c r="S54" s="187"/>
      <c r="T54" s="185" t="s">
        <v>110</v>
      </c>
      <c r="U54" s="186"/>
      <c r="V54" s="186"/>
      <c r="W54" s="188" t="s">
        <v>110</v>
      </c>
      <c r="X54" s="186"/>
      <c r="Y54" s="192"/>
    </row>
    <row r="55" spans="1:25" x14ac:dyDescent="0.3">
      <c r="A55" s="96" t="s">
        <v>111</v>
      </c>
      <c r="B55" s="117"/>
      <c r="C55" s="118"/>
      <c r="D55" s="118">
        <f>+'Vent '!D3</f>
        <v>0.64583333333333337</v>
      </c>
      <c r="E55" s="117"/>
      <c r="F55" s="118"/>
      <c r="G55" s="118">
        <f>+'Vent '!D4</f>
        <v>0.64583333333333337</v>
      </c>
      <c r="H55" s="117"/>
      <c r="I55" s="118"/>
      <c r="J55" s="118">
        <f>+'Vent '!D5</f>
        <v>0.64583333333333337</v>
      </c>
      <c r="K55" s="117"/>
      <c r="L55" s="118"/>
      <c r="M55" s="118">
        <f>+'Vent '!D6</f>
        <v>0.64583333333333337</v>
      </c>
      <c r="N55" s="117"/>
      <c r="O55" s="118"/>
      <c r="P55" s="118">
        <f>+'Vent '!D7</f>
        <v>0.64583333333333337</v>
      </c>
      <c r="Q55" s="117"/>
      <c r="R55" s="120"/>
      <c r="S55" s="121"/>
      <c r="T55" s="117"/>
      <c r="U55" s="120"/>
      <c r="V55" s="122"/>
      <c r="W55" s="123" t="str">
        <f>IFERROR(AVERAGE(B55,E55,H55,K55,N55,Q55,T55),"")</f>
        <v/>
      </c>
      <c r="X55" s="124" t="str">
        <f t="shared" ref="X55:Y57" si="13">IFERROR(AVERAGE(C55,F55,I55,L55,O55,R55,U55),"")</f>
        <v/>
      </c>
      <c r="Y55" s="148">
        <f t="shared" si="13"/>
        <v>0.64583333333333337</v>
      </c>
    </row>
    <row r="56" spans="1:25" x14ac:dyDescent="0.3">
      <c r="A56" s="96" t="s">
        <v>112</v>
      </c>
      <c r="B56" s="117"/>
      <c r="C56" s="118"/>
      <c r="D56" s="118">
        <f>+'Vent '!J3</f>
        <v>0.98263888888888884</v>
      </c>
      <c r="E56" s="117"/>
      <c r="F56" s="118"/>
      <c r="G56" s="118">
        <f>+'Vent '!J4</f>
        <v>0.97916666666666663</v>
      </c>
      <c r="H56" s="117"/>
      <c r="I56" s="118"/>
      <c r="J56" s="118">
        <f>+'Vent '!J5</f>
        <v>0.98611111111111116</v>
      </c>
      <c r="K56" s="117"/>
      <c r="L56" s="118"/>
      <c r="M56" s="118">
        <f>+'Vent '!J6</f>
        <v>0.98263888888888884</v>
      </c>
      <c r="N56" s="117"/>
      <c r="O56" s="118"/>
      <c r="P56" s="118">
        <f>+'Vent '!J7</f>
        <v>0.97916666666666663</v>
      </c>
      <c r="Q56" s="117"/>
      <c r="R56" s="120"/>
      <c r="S56" s="121"/>
      <c r="T56" s="117"/>
      <c r="U56" s="120"/>
      <c r="V56" s="122"/>
      <c r="W56" s="125" t="str">
        <f>IFERROR(AVERAGE(B56,E56,H56,K56,N56,Q56,T56),"")</f>
        <v/>
      </c>
      <c r="X56" s="126" t="str">
        <f t="shared" si="13"/>
        <v/>
      </c>
      <c r="Y56" s="149">
        <f t="shared" si="13"/>
        <v>0.98194444444444451</v>
      </c>
    </row>
    <row r="57" spans="1:25" ht="16.2" thickBot="1" x14ac:dyDescent="0.35">
      <c r="A57" s="109" t="s">
        <v>113</v>
      </c>
      <c r="B57" s="127"/>
      <c r="C57" s="118"/>
      <c r="D57" s="118">
        <f>+'Vent '!G16</f>
        <v>0.24444444444444424</v>
      </c>
      <c r="E57" s="127"/>
      <c r="F57" s="118"/>
      <c r="G57" s="118">
        <f>+'Vent '!G17</f>
        <v>0.24166666666666659</v>
      </c>
      <c r="H57" s="127"/>
      <c r="I57" s="118"/>
      <c r="J57" s="118">
        <f>+'Vent '!G18</f>
        <v>0.25138888888888888</v>
      </c>
      <c r="K57" s="127"/>
      <c r="L57" s="118"/>
      <c r="M57" s="118">
        <f>+'Vent '!G19</f>
        <v>0.26180555555555551</v>
      </c>
      <c r="N57" s="127"/>
      <c r="O57" s="118"/>
      <c r="P57" s="118">
        <f>+'Vent '!G20</f>
        <v>0.24583333333333324</v>
      </c>
      <c r="Q57" s="127"/>
      <c r="R57" s="129"/>
      <c r="S57" s="130"/>
      <c r="T57" s="127"/>
      <c r="U57" s="129"/>
      <c r="V57" s="131"/>
      <c r="W57" s="132" t="str">
        <f>IFERROR(AVERAGE(B57,E57,H57,K57,N57,Q57,T57),"")</f>
        <v/>
      </c>
      <c r="X57" s="133" t="str">
        <f t="shared" si="13"/>
        <v/>
      </c>
      <c r="Y57" s="150">
        <f t="shared" si="13"/>
        <v>0.24902777777777771</v>
      </c>
    </row>
    <row r="58" spans="1:25" ht="16.2" thickBot="1" x14ac:dyDescent="0.35">
      <c r="A58" s="95" t="s">
        <v>121</v>
      </c>
      <c r="B58" s="189" t="s">
        <v>110</v>
      </c>
      <c r="C58" s="190"/>
      <c r="D58" s="191"/>
      <c r="E58" s="185" t="s">
        <v>110</v>
      </c>
      <c r="F58" s="186"/>
      <c r="G58" s="187"/>
      <c r="H58" s="185" t="s">
        <v>110</v>
      </c>
      <c r="I58" s="186"/>
      <c r="J58" s="187"/>
      <c r="K58" s="185" t="s">
        <v>110</v>
      </c>
      <c r="L58" s="186"/>
      <c r="M58" s="187"/>
      <c r="N58" s="185" t="s">
        <v>110</v>
      </c>
      <c r="O58" s="186"/>
      <c r="P58" s="187"/>
      <c r="Q58" s="185" t="s">
        <v>110</v>
      </c>
      <c r="R58" s="186"/>
      <c r="S58" s="187"/>
      <c r="T58" s="185" t="s">
        <v>110</v>
      </c>
      <c r="U58" s="186"/>
      <c r="V58" s="186"/>
      <c r="W58" s="188" t="s">
        <v>110</v>
      </c>
      <c r="X58" s="186"/>
      <c r="Y58" s="187"/>
    </row>
    <row r="59" spans="1:25" x14ac:dyDescent="0.3">
      <c r="A59" s="96" t="s">
        <v>111</v>
      </c>
      <c r="B59" s="117"/>
      <c r="C59" s="118">
        <f>+ACCU!D3</f>
        <v>0.33333333333333331</v>
      </c>
      <c r="D59" s="121"/>
      <c r="E59" s="97"/>
      <c r="F59" s="98">
        <f>+ACCU!D4</f>
        <v>0.33333333333333331</v>
      </c>
      <c r="G59" s="101"/>
      <c r="H59" s="97"/>
      <c r="I59" s="98">
        <f>+ACCU!D5</f>
        <v>0.33333333333333331</v>
      </c>
      <c r="J59" s="101"/>
      <c r="K59" s="97"/>
      <c r="L59" s="98">
        <f>+ACCU!D6</f>
        <v>0.33680555555555558</v>
      </c>
      <c r="M59" s="101"/>
      <c r="N59" s="97"/>
      <c r="O59" s="98">
        <f>+ACCU!D7</f>
        <v>0.33333333333333331</v>
      </c>
      <c r="P59" s="101"/>
      <c r="Q59" s="97"/>
      <c r="R59" s="100"/>
      <c r="S59" s="101"/>
      <c r="T59" s="97"/>
      <c r="U59" s="100"/>
      <c r="V59" s="102"/>
      <c r="W59" s="103" t="str">
        <f>IFERROR(AVERAGE(B59,E59,H59,K59,N59,Q59,T59),"")</f>
        <v/>
      </c>
      <c r="X59" s="104">
        <f t="shared" ref="X59:Y61" si="14">IFERROR(AVERAGE(C59,F59,I59,L59,O59,R59,U59),"")</f>
        <v>0.33402777777777776</v>
      </c>
      <c r="Y59" s="140" t="str">
        <f t="shared" si="14"/>
        <v/>
      </c>
    </row>
    <row r="60" spans="1:25" x14ac:dyDescent="0.3">
      <c r="A60" s="96" t="s">
        <v>112</v>
      </c>
      <c r="B60" s="117"/>
      <c r="C60" s="118">
        <f>+ACCU!J3</f>
        <v>0.83333333333333337</v>
      </c>
      <c r="D60" s="121"/>
      <c r="E60" s="97"/>
      <c r="F60" s="98">
        <f>+ACCU!J4</f>
        <v>0.83333333333333337</v>
      </c>
      <c r="G60" s="101"/>
      <c r="H60" s="97"/>
      <c r="I60" s="98">
        <f>+ACCU!J5</f>
        <v>0.83333333333333304</v>
      </c>
      <c r="J60" s="101"/>
      <c r="K60" s="97"/>
      <c r="L60" s="98">
        <f>+ACCU!J6</f>
        <v>0.83333333333333304</v>
      </c>
      <c r="M60" s="101"/>
      <c r="N60" s="97"/>
      <c r="O60" s="98">
        <f>+ACCU!J7</f>
        <v>0.83333333333333304</v>
      </c>
      <c r="P60" s="101"/>
      <c r="Q60" s="97"/>
      <c r="R60" s="100"/>
      <c r="S60" s="101"/>
      <c r="T60" s="97"/>
      <c r="U60" s="100"/>
      <c r="V60" s="102"/>
      <c r="W60" s="106" t="str">
        <f>IFERROR(AVERAGE(B60,E60,H60,K60,N60,Q60,T60),"")</f>
        <v/>
      </c>
      <c r="X60" s="107">
        <f t="shared" si="14"/>
        <v>0.83333333333333326</v>
      </c>
      <c r="Y60" s="141" t="str">
        <f t="shared" si="14"/>
        <v/>
      </c>
    </row>
    <row r="61" spans="1:25" ht="16.2" thickBot="1" x14ac:dyDescent="0.35">
      <c r="A61" s="109" t="s">
        <v>113</v>
      </c>
      <c r="B61" s="127"/>
      <c r="C61" s="128">
        <f>+ACCU!G16</f>
        <v>0.4465277777777778</v>
      </c>
      <c r="D61" s="130"/>
      <c r="E61" s="110"/>
      <c r="F61" s="139">
        <f>+ACCU!G17</f>
        <v>0.44236111111111115</v>
      </c>
      <c r="G61" s="112"/>
      <c r="H61" s="110"/>
      <c r="I61" s="139">
        <f>+ACCU!G18</f>
        <v>0.45138888888888856</v>
      </c>
      <c r="J61" s="112"/>
      <c r="K61" s="110"/>
      <c r="L61" s="139">
        <f>+ACCU!G19</f>
        <v>0.4340277777777774</v>
      </c>
      <c r="M61" s="112"/>
      <c r="N61" s="110"/>
      <c r="O61" s="139">
        <f>+ACCU!G20</f>
        <v>0.43333333333333307</v>
      </c>
      <c r="P61" s="112"/>
      <c r="Q61" s="110"/>
      <c r="R61" s="111"/>
      <c r="S61" s="112"/>
      <c r="T61" s="110"/>
      <c r="U61" s="111"/>
      <c r="V61" s="113"/>
      <c r="W61" s="114" t="str">
        <f>IFERROR(AVERAGE(B61,E61,H61,K61,N61,Q61,T61),"")</f>
        <v/>
      </c>
      <c r="X61" s="115">
        <f t="shared" si="14"/>
        <v>0.44152777777777763</v>
      </c>
      <c r="Y61" s="142" t="str">
        <f t="shared" si="14"/>
        <v/>
      </c>
    </row>
  </sheetData>
  <mergeCells count="120">
    <mergeCell ref="B14:D14"/>
    <mergeCell ref="E14:G14"/>
    <mergeCell ref="H14:J14"/>
    <mergeCell ref="B50:D50"/>
    <mergeCell ref="E50:G50"/>
    <mergeCell ref="H50:J50"/>
    <mergeCell ref="B54:D54"/>
    <mergeCell ref="E54:G54"/>
    <mergeCell ref="H54:J54"/>
    <mergeCell ref="B30:D30"/>
    <mergeCell ref="E30:G30"/>
    <mergeCell ref="H30:J30"/>
    <mergeCell ref="B34:D34"/>
    <mergeCell ref="E34:G34"/>
    <mergeCell ref="H34:J34"/>
    <mergeCell ref="B46:D46"/>
    <mergeCell ref="E46:G46"/>
    <mergeCell ref="H46:J46"/>
    <mergeCell ref="B4:D4"/>
    <mergeCell ref="E4:G4"/>
    <mergeCell ref="H4:J4"/>
    <mergeCell ref="B6:D6"/>
    <mergeCell ref="E6:G6"/>
    <mergeCell ref="H6:J6"/>
    <mergeCell ref="B10:D10"/>
    <mergeCell ref="E10:G10"/>
    <mergeCell ref="H10:J10"/>
    <mergeCell ref="K6:M6"/>
    <mergeCell ref="N6:P6"/>
    <mergeCell ref="Q6:S6"/>
    <mergeCell ref="T6:V6"/>
    <mergeCell ref="W6:Y6"/>
    <mergeCell ref="K4:M4"/>
    <mergeCell ref="N4:P4"/>
    <mergeCell ref="Q4:S4"/>
    <mergeCell ref="T4:V4"/>
    <mergeCell ref="W4:Y4"/>
    <mergeCell ref="K14:M14"/>
    <mergeCell ref="N14:P14"/>
    <mergeCell ref="Q14:S14"/>
    <mergeCell ref="T14:V14"/>
    <mergeCell ref="W14:Y14"/>
    <mergeCell ref="K10:M10"/>
    <mergeCell ref="N10:P10"/>
    <mergeCell ref="Q10:S10"/>
    <mergeCell ref="T10:V10"/>
    <mergeCell ref="W10:Y10"/>
    <mergeCell ref="K26:M26"/>
    <mergeCell ref="N26:P26"/>
    <mergeCell ref="Q26:S26"/>
    <mergeCell ref="T26:V26"/>
    <mergeCell ref="W26:Y26"/>
    <mergeCell ref="Q18:S18"/>
    <mergeCell ref="T18:V18"/>
    <mergeCell ref="W18:Y18"/>
    <mergeCell ref="B22:D22"/>
    <mergeCell ref="E22:G22"/>
    <mergeCell ref="H22:J22"/>
    <mergeCell ref="K22:M22"/>
    <mergeCell ref="N22:P22"/>
    <mergeCell ref="Q22:S22"/>
    <mergeCell ref="T22:V22"/>
    <mergeCell ref="W22:Y22"/>
    <mergeCell ref="B18:D18"/>
    <mergeCell ref="E18:G18"/>
    <mergeCell ref="H18:J18"/>
    <mergeCell ref="K18:M18"/>
    <mergeCell ref="N18:P18"/>
    <mergeCell ref="B26:D26"/>
    <mergeCell ref="E26:G26"/>
    <mergeCell ref="H26:J26"/>
    <mergeCell ref="K34:M34"/>
    <mergeCell ref="N34:P34"/>
    <mergeCell ref="Q34:S34"/>
    <mergeCell ref="T34:V34"/>
    <mergeCell ref="W34:Y34"/>
    <mergeCell ref="K30:M30"/>
    <mergeCell ref="N30:P30"/>
    <mergeCell ref="Q30:S30"/>
    <mergeCell ref="T30:V30"/>
    <mergeCell ref="W30:Y30"/>
    <mergeCell ref="Q38:S38"/>
    <mergeCell ref="T38:V38"/>
    <mergeCell ref="W38:Y38"/>
    <mergeCell ref="B42:D42"/>
    <mergeCell ref="E42:G42"/>
    <mergeCell ref="H42:J42"/>
    <mergeCell ref="K42:M42"/>
    <mergeCell ref="N42:P42"/>
    <mergeCell ref="Q42:S42"/>
    <mergeCell ref="T42:V42"/>
    <mergeCell ref="W42:Y42"/>
    <mergeCell ref="B38:D38"/>
    <mergeCell ref="E38:G38"/>
    <mergeCell ref="H38:J38"/>
    <mergeCell ref="K38:M38"/>
    <mergeCell ref="N38:P38"/>
    <mergeCell ref="K50:M50"/>
    <mergeCell ref="N50:P50"/>
    <mergeCell ref="Q50:S50"/>
    <mergeCell ref="T50:V50"/>
    <mergeCell ref="W50:Y50"/>
    <mergeCell ref="K46:M46"/>
    <mergeCell ref="N46:P46"/>
    <mergeCell ref="Q46:S46"/>
    <mergeCell ref="T46:V46"/>
    <mergeCell ref="W46:Y46"/>
    <mergeCell ref="Q58:S58"/>
    <mergeCell ref="T58:V58"/>
    <mergeCell ref="W58:Y58"/>
    <mergeCell ref="B58:D58"/>
    <mergeCell ref="E58:G58"/>
    <mergeCell ref="H58:J58"/>
    <mergeCell ref="K58:M58"/>
    <mergeCell ref="N58:P58"/>
    <mergeCell ref="K54:M54"/>
    <mergeCell ref="N54:P54"/>
    <mergeCell ref="Q54:S54"/>
    <mergeCell ref="T54:V54"/>
    <mergeCell ref="W54:Y54"/>
  </mergeCells>
  <pageMargins left="0.7" right="0.7" top="0.75" bottom="0.75" header="0.3" footer="0.3"/>
  <pageSetup orientation="portrait" horizontalDpi="4294967293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C7"/>
  <sheetViews>
    <sheetView workbookViewId="0">
      <selection activeCell="AB17" sqref="AB17"/>
    </sheetView>
  </sheetViews>
  <sheetFormatPr baseColWidth="10" defaultRowHeight="15.6" x14ac:dyDescent="0.3"/>
  <cols>
    <col min="1" max="1" width="3.09765625" customWidth="1"/>
    <col min="2" max="2" width="28.8984375" bestFit="1" customWidth="1"/>
    <col min="3" max="24" width="3.3984375" customWidth="1"/>
    <col min="25" max="25" width="4.19921875" customWidth="1"/>
    <col min="26" max="26" width="3.3984375" customWidth="1"/>
    <col min="27" max="27" width="15" bestFit="1" customWidth="1"/>
    <col min="29" max="29" width="12.19921875" customWidth="1"/>
  </cols>
  <sheetData>
    <row r="2" spans="2:29" ht="16.2" thickBot="1" x14ac:dyDescent="0.35"/>
    <row r="3" spans="2:29" ht="16.2" thickBot="1" x14ac:dyDescent="0.35">
      <c r="B3" s="156"/>
      <c r="C3" s="204">
        <f>'TTE 6 '!C3</f>
        <v>44907</v>
      </c>
      <c r="D3" s="205"/>
      <c r="E3" s="205"/>
      <c r="F3" s="204">
        <f>+'TTE 6 '!C4</f>
        <v>44908</v>
      </c>
      <c r="G3" s="205"/>
      <c r="H3" s="205"/>
      <c r="I3" s="204">
        <f>'TTE 6 '!C5</f>
        <v>44909</v>
      </c>
      <c r="J3" s="205"/>
      <c r="K3" s="205"/>
      <c r="L3" s="204">
        <f>'TTE 6 '!C6</f>
        <v>44910</v>
      </c>
      <c r="M3" s="205"/>
      <c r="N3" s="205"/>
      <c r="O3" s="204">
        <f>+'TTE 6 '!C7</f>
        <v>44911</v>
      </c>
      <c r="P3" s="205"/>
      <c r="Q3" s="205"/>
      <c r="R3" s="204">
        <f>'TTE 6 '!C8</f>
        <v>44912</v>
      </c>
      <c r="S3" s="205"/>
      <c r="T3" s="205"/>
      <c r="U3" s="204">
        <f>'TTE 6 '!C9</f>
        <v>44913</v>
      </c>
      <c r="V3" s="205"/>
      <c r="W3" s="205"/>
      <c r="X3" s="212" t="s">
        <v>107</v>
      </c>
      <c r="Y3" s="213"/>
      <c r="Z3" s="214"/>
      <c r="AA3" s="215" t="s">
        <v>122</v>
      </c>
      <c r="AC3" s="209" t="s">
        <v>128</v>
      </c>
    </row>
    <row r="4" spans="2:29" ht="16.2" thickBot="1" x14ac:dyDescent="0.35">
      <c r="B4" s="156"/>
      <c r="C4" s="161" t="s">
        <v>108</v>
      </c>
      <c r="D4" s="162" t="s">
        <v>103</v>
      </c>
      <c r="E4" s="163" t="s">
        <v>104</v>
      </c>
      <c r="F4" s="161" t="s">
        <v>108</v>
      </c>
      <c r="G4" s="162" t="s">
        <v>103</v>
      </c>
      <c r="H4" s="163" t="s">
        <v>104</v>
      </c>
      <c r="I4" s="161" t="s">
        <v>108</v>
      </c>
      <c r="J4" s="162" t="s">
        <v>103</v>
      </c>
      <c r="K4" s="163" t="s">
        <v>104</v>
      </c>
      <c r="L4" s="161" t="s">
        <v>108</v>
      </c>
      <c r="M4" s="162" t="s">
        <v>103</v>
      </c>
      <c r="N4" s="163" t="s">
        <v>104</v>
      </c>
      <c r="O4" s="161" t="s">
        <v>108</v>
      </c>
      <c r="P4" s="162" t="s">
        <v>103</v>
      </c>
      <c r="Q4" s="163" t="s">
        <v>104</v>
      </c>
      <c r="R4" s="161" t="s">
        <v>108</v>
      </c>
      <c r="S4" s="162" t="s">
        <v>103</v>
      </c>
      <c r="T4" s="163" t="s">
        <v>104</v>
      </c>
      <c r="U4" s="161" t="s">
        <v>108</v>
      </c>
      <c r="V4" s="162" t="s">
        <v>103</v>
      </c>
      <c r="W4" s="163" t="s">
        <v>104</v>
      </c>
      <c r="X4" s="161" t="s">
        <v>108</v>
      </c>
      <c r="Y4" s="162" t="s">
        <v>103</v>
      </c>
      <c r="Z4" s="170" t="s">
        <v>104</v>
      </c>
      <c r="AA4" s="216"/>
      <c r="AC4" s="210"/>
    </row>
    <row r="5" spans="2:29" ht="16.2" thickBot="1" x14ac:dyDescent="0.35">
      <c r="B5" s="157" t="s">
        <v>123</v>
      </c>
      <c r="C5" s="206" t="s">
        <v>124</v>
      </c>
      <c r="D5" s="207"/>
      <c r="E5" s="208"/>
      <c r="F5" s="206" t="s">
        <v>124</v>
      </c>
      <c r="G5" s="207"/>
      <c r="H5" s="208"/>
      <c r="I5" s="206" t="s">
        <v>124</v>
      </c>
      <c r="J5" s="207"/>
      <c r="K5" s="208"/>
      <c r="L5" s="206" t="s">
        <v>124</v>
      </c>
      <c r="M5" s="207"/>
      <c r="N5" s="208"/>
      <c r="O5" s="206" t="s">
        <v>124</v>
      </c>
      <c r="P5" s="207"/>
      <c r="Q5" s="208"/>
      <c r="R5" s="206" t="s">
        <v>124</v>
      </c>
      <c r="S5" s="207"/>
      <c r="T5" s="208"/>
      <c r="U5" s="206" t="s">
        <v>124</v>
      </c>
      <c r="V5" s="207"/>
      <c r="W5" s="208"/>
      <c r="X5" s="206" t="s">
        <v>124</v>
      </c>
      <c r="Y5" s="207"/>
      <c r="Z5" s="207"/>
      <c r="AA5" s="158" t="s">
        <v>125</v>
      </c>
      <c r="AB5" s="179" t="s">
        <v>129</v>
      </c>
      <c r="AC5" s="211"/>
    </row>
    <row r="6" spans="2:29" ht="28.2" thickBot="1" x14ac:dyDescent="0.35">
      <c r="B6" s="159" t="s">
        <v>126</v>
      </c>
      <c r="C6" s="167"/>
      <c r="D6" s="168"/>
      <c r="E6" s="169">
        <v>1</v>
      </c>
      <c r="F6" s="167"/>
      <c r="G6" s="168"/>
      <c r="H6" s="169">
        <v>2</v>
      </c>
      <c r="I6" s="167"/>
      <c r="J6" s="168"/>
      <c r="K6" s="169">
        <v>0</v>
      </c>
      <c r="L6" s="167"/>
      <c r="M6" s="168"/>
      <c r="N6" s="169">
        <v>1</v>
      </c>
      <c r="O6" s="167"/>
      <c r="P6" s="168"/>
      <c r="Q6" s="169">
        <v>3</v>
      </c>
      <c r="R6" s="167"/>
      <c r="S6" s="168"/>
      <c r="T6" s="169"/>
      <c r="U6" s="167"/>
      <c r="V6" s="168"/>
      <c r="W6" s="169"/>
      <c r="X6" s="154">
        <f>C6+F6+I6+L6+O6+R6+U6</f>
        <v>0</v>
      </c>
      <c r="Y6" s="154">
        <f>D6+G6+J6+M6+P6+S6+V6</f>
        <v>0</v>
      </c>
      <c r="Z6" s="171">
        <f>E6+H6+K6+N6+Q6+T6+W6</f>
        <v>7</v>
      </c>
      <c r="AA6" s="173">
        <f>X6+Y6+Z6</f>
        <v>7</v>
      </c>
      <c r="AB6" s="177">
        <f>AA6/AC6</f>
        <v>0.46666666666666667</v>
      </c>
      <c r="AC6" s="177">
        <v>15</v>
      </c>
    </row>
    <row r="7" spans="2:29" ht="28.2" thickBot="1" x14ac:dyDescent="0.35">
      <c r="B7" s="160" t="s">
        <v>127</v>
      </c>
      <c r="C7" s="164"/>
      <c r="D7" s="165">
        <v>2</v>
      </c>
      <c r="E7" s="166"/>
      <c r="F7" s="164"/>
      <c r="G7" s="165">
        <v>3</v>
      </c>
      <c r="H7" s="166"/>
      <c r="I7" s="164"/>
      <c r="J7" s="165">
        <v>5</v>
      </c>
      <c r="K7" s="166"/>
      <c r="L7" s="164"/>
      <c r="M7" s="165">
        <v>5</v>
      </c>
      <c r="N7" s="166"/>
      <c r="O7" s="164"/>
      <c r="P7" s="165">
        <v>2</v>
      </c>
      <c r="Q7" s="166"/>
      <c r="R7" s="164"/>
      <c r="S7" s="165"/>
      <c r="T7" s="166"/>
      <c r="U7" s="164"/>
      <c r="V7" s="165"/>
      <c r="W7" s="166"/>
      <c r="X7" s="155">
        <f>C7+F7+I7+L7+O7+R7+C7</f>
        <v>0</v>
      </c>
      <c r="Y7" s="155">
        <f>D7+G7+J7+M7+P7+S7+V7</f>
        <v>17</v>
      </c>
      <c r="Z7" s="155">
        <f>E7+H7+K7+N7+Q7+T7+W7</f>
        <v>0</v>
      </c>
      <c r="AA7" s="172">
        <f>X7+Y7+Z7</f>
        <v>17</v>
      </c>
      <c r="AB7" s="180">
        <f>AA7/AC7</f>
        <v>1.1333333333333333</v>
      </c>
      <c r="AC7" s="178">
        <v>15</v>
      </c>
    </row>
  </sheetData>
  <mergeCells count="18">
    <mergeCell ref="R5:T5"/>
    <mergeCell ref="AA3:AA4"/>
    <mergeCell ref="C3:E3"/>
    <mergeCell ref="C5:E5"/>
    <mergeCell ref="AC3:AC5"/>
    <mergeCell ref="U5:W5"/>
    <mergeCell ref="X5:Z5"/>
    <mergeCell ref="U3:W3"/>
    <mergeCell ref="F3:H3"/>
    <mergeCell ref="I3:K3"/>
    <mergeCell ref="L3:N3"/>
    <mergeCell ref="O3:Q3"/>
    <mergeCell ref="X3:Z3"/>
    <mergeCell ref="R3:T3"/>
    <mergeCell ref="F5:H5"/>
    <mergeCell ref="I5:K5"/>
    <mergeCell ref="L5:N5"/>
    <mergeCell ref="O5:Q5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28" sqref="M28"/>
    </sheetView>
  </sheetViews>
  <sheetFormatPr baseColWidth="10" defaultRowHeight="15.6" x14ac:dyDescent="0.3"/>
  <sheetData/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7" sqref="B27"/>
    </sheetView>
  </sheetViews>
  <sheetFormatPr baseColWidth="10" defaultRowHeight="15.6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72"/>
  <sheetViews>
    <sheetView showGridLines="0" zoomScale="60" zoomScaleNormal="60" workbookViewId="0">
      <selection activeCell="G7" sqref="G7"/>
    </sheetView>
  </sheetViews>
  <sheetFormatPr baseColWidth="10" defaultRowHeight="15.6" x14ac:dyDescent="0.3"/>
  <cols>
    <col min="1" max="1" width="11.19921875" customWidth="1"/>
    <col min="2" max="2" width="7.69921875" customWidth="1"/>
    <col min="3" max="3" width="13.59765625" customWidth="1"/>
    <col min="4" max="4" width="15.69921875" customWidth="1"/>
    <col min="5" max="5" width="14.59765625" customWidth="1"/>
    <col min="6" max="6" width="14.3984375" customWidth="1"/>
    <col min="7" max="7" width="14.59765625" customWidth="1"/>
    <col min="8" max="8" width="15.09765625" customWidth="1"/>
    <col min="9" max="9" width="14.8984375" customWidth="1"/>
    <col min="10" max="10" width="16.19921875" customWidth="1"/>
    <col min="11" max="11" width="27.19921875" customWidth="1"/>
    <col min="12" max="12" width="15.3984375" customWidth="1"/>
    <col min="13" max="14" width="11.19921875" customWidth="1"/>
    <col min="15" max="15" width="17.09765625" bestFit="1" customWidth="1"/>
    <col min="16" max="16" width="15.19921875" bestFit="1" customWidth="1"/>
    <col min="17" max="17" width="25.19921875" bestFit="1" customWidth="1"/>
    <col min="18" max="18" width="19.19921875" customWidth="1"/>
    <col min="19" max="19" width="16.09765625" customWidth="1"/>
    <col min="20" max="20" width="13.8984375" bestFit="1" customWidth="1"/>
    <col min="21" max="21" width="18.8984375" bestFit="1" customWidth="1"/>
    <col min="22" max="22" width="14.19921875" customWidth="1"/>
    <col min="23" max="29" width="13.59765625" customWidth="1"/>
  </cols>
  <sheetData>
    <row r="1" spans="1:29" x14ac:dyDescent="0.3">
      <c r="C1" s="31" t="s">
        <v>0</v>
      </c>
      <c r="D1" s="32">
        <v>0.33333333333333331</v>
      </c>
      <c r="E1" s="32">
        <v>0.35416666666666669</v>
      </c>
      <c r="F1" s="32">
        <v>0.375</v>
      </c>
      <c r="G1" s="32">
        <v>0.59375</v>
      </c>
      <c r="H1" s="32">
        <v>0.61458333333333337</v>
      </c>
      <c r="I1" s="32">
        <v>0.63541666666666663</v>
      </c>
      <c r="J1" s="32">
        <v>0.66666666666666663</v>
      </c>
    </row>
    <row r="2" spans="1:29" ht="46.8" x14ac:dyDescent="0.3">
      <c r="A2" s="13" t="s">
        <v>13</v>
      </c>
      <c r="B2" s="27" t="s">
        <v>39</v>
      </c>
      <c r="C2" s="14" t="s">
        <v>9</v>
      </c>
      <c r="D2" s="15" t="s">
        <v>1</v>
      </c>
      <c r="E2" s="15" t="s">
        <v>20</v>
      </c>
      <c r="F2" s="16" t="s">
        <v>42</v>
      </c>
      <c r="G2" s="16" t="s">
        <v>43</v>
      </c>
      <c r="H2" s="16" t="s">
        <v>21</v>
      </c>
      <c r="I2" s="17" t="s">
        <v>44</v>
      </c>
      <c r="J2" s="16" t="s">
        <v>45</v>
      </c>
      <c r="K2" s="35" t="s">
        <v>36</v>
      </c>
      <c r="M2" s="1" t="s">
        <v>11</v>
      </c>
      <c r="N2" s="1" t="s">
        <v>14</v>
      </c>
      <c r="O2" s="1" t="s">
        <v>12</v>
      </c>
      <c r="P2" s="8" t="s">
        <v>10</v>
      </c>
      <c r="Q2" s="6" t="s">
        <v>35</v>
      </c>
      <c r="R2" s="9" t="s">
        <v>34</v>
      </c>
      <c r="S2" s="6" t="s">
        <v>23</v>
      </c>
      <c r="T2" s="16" t="s">
        <v>53</v>
      </c>
      <c r="U2" s="6" t="s">
        <v>19</v>
      </c>
      <c r="V2" s="21" t="s">
        <v>22</v>
      </c>
      <c r="W2" s="19" t="s">
        <v>30</v>
      </c>
      <c r="X2" s="20" t="s">
        <v>31</v>
      </c>
      <c r="Y2" s="20" t="s">
        <v>32</v>
      </c>
      <c r="Z2" s="20" t="s">
        <v>33</v>
      </c>
      <c r="AA2" s="19" t="s">
        <v>46</v>
      </c>
      <c r="AB2" s="19" t="s">
        <v>47</v>
      </c>
      <c r="AC2" s="19" t="s">
        <v>48</v>
      </c>
    </row>
    <row r="3" spans="1:29" x14ac:dyDescent="0.3">
      <c r="A3" s="12" t="s">
        <v>95</v>
      </c>
      <c r="B3" s="12" t="s">
        <v>37</v>
      </c>
      <c r="C3" s="4">
        <f>+Tabla5[[#This Row],[FECHA]]</f>
        <v>44907</v>
      </c>
      <c r="D3" s="37">
        <v>0.34027777777777773</v>
      </c>
      <c r="E3" s="37">
        <v>0.36458333333333331</v>
      </c>
      <c r="F3" s="37">
        <v>0.37638888888888888</v>
      </c>
      <c r="G3" s="46">
        <v>0.61458333333333337</v>
      </c>
      <c r="H3" s="46">
        <v>0.62152777777777779</v>
      </c>
      <c r="I3" s="46">
        <v>0.64583333333333337</v>
      </c>
      <c r="J3" s="46">
        <v>0.65972222222222221</v>
      </c>
      <c r="K3" s="47" t="s">
        <v>90</v>
      </c>
      <c r="L3" s="53"/>
      <c r="M3" s="53"/>
      <c r="N3" s="52" t="s">
        <v>15</v>
      </c>
      <c r="O3" s="4">
        <f>Tabla513[[#This Row],[FECHA]]</f>
        <v>44907</v>
      </c>
      <c r="P3" s="7">
        <f>D3</f>
        <v>0.34027777777777773</v>
      </c>
      <c r="Q3" s="7">
        <f>E3-D3</f>
        <v>2.430555555555558E-2</v>
      </c>
      <c r="R3" s="7">
        <f>F3-E3</f>
        <v>1.1805555555555569E-2</v>
      </c>
      <c r="S3" s="7">
        <f>G3-F3</f>
        <v>0.23819444444444449</v>
      </c>
      <c r="T3" s="7">
        <f>+Tabla513[[#This Row],[ALMUERZO]]-Tabla513[[#This Row],[TERMINO ACT. AM]]</f>
        <v>6.9444444444444198E-3</v>
      </c>
      <c r="U3" s="7">
        <f>+Tabla513[[#This Row],[INICIO ACTIVIDADES PM]]-Tabla513[[#This Row],[ALMUERZO]]</f>
        <v>2.430555555555558E-2</v>
      </c>
      <c r="V3" s="7">
        <f>+Tabla513[[#This Row],[TERMINO ACTIVIDADES PM]]-Tabla513[[#This Row],[INICIO ACTIVIDADES PM]]</f>
        <v>1.388888888888884E-2</v>
      </c>
      <c r="W3" s="3">
        <f>+$D$1</f>
        <v>0.33333333333333331</v>
      </c>
      <c r="X3" s="3">
        <f>+$E$1</f>
        <v>0.35416666666666669</v>
      </c>
      <c r="Y3" s="3">
        <f>+$F$1</f>
        <v>0.375</v>
      </c>
      <c r="Z3" s="3">
        <f>+$G$1</f>
        <v>0.59375</v>
      </c>
      <c r="AA3" s="3">
        <f>+$H$1</f>
        <v>0.61458333333333337</v>
      </c>
      <c r="AB3" s="3">
        <f>+$I$1</f>
        <v>0.63541666666666663</v>
      </c>
      <c r="AC3" s="3">
        <f>+$J$1</f>
        <v>0.66666666666666663</v>
      </c>
    </row>
    <row r="4" spans="1:29" x14ac:dyDescent="0.3">
      <c r="A4" s="12" t="s">
        <v>95</v>
      </c>
      <c r="B4" s="12" t="s">
        <v>26</v>
      </c>
      <c r="C4" s="4">
        <f>+Tabla5[[#This Row],[FECHA]]</f>
        <v>44908</v>
      </c>
      <c r="D4" s="37">
        <v>0.33888888888888885</v>
      </c>
      <c r="E4" s="37">
        <v>0.36805555555555558</v>
      </c>
      <c r="F4" s="37">
        <v>0.37986111111111115</v>
      </c>
      <c r="G4" s="46">
        <v>0.60416666666666663</v>
      </c>
      <c r="H4" s="46">
        <v>0.61111111111111105</v>
      </c>
      <c r="I4" s="46">
        <v>0.64236111111111105</v>
      </c>
      <c r="J4" s="46">
        <v>0.65972222222222221</v>
      </c>
      <c r="K4" s="47" t="s">
        <v>90</v>
      </c>
      <c r="M4" s="5"/>
      <c r="N4" s="5" t="s">
        <v>16</v>
      </c>
      <c r="O4" s="4">
        <f>Tabla513[[#This Row],[FECHA]]</f>
        <v>44908</v>
      </c>
      <c r="P4" s="7">
        <f>D4</f>
        <v>0.33888888888888885</v>
      </c>
      <c r="Q4" s="7">
        <f t="shared" ref="Q4:S7" si="0">E4-D4</f>
        <v>2.916666666666673E-2</v>
      </c>
      <c r="R4" s="7">
        <f t="shared" si="0"/>
        <v>1.1805555555555569E-2</v>
      </c>
      <c r="S4" s="7">
        <f t="shared" si="0"/>
        <v>0.22430555555555548</v>
      </c>
      <c r="T4" s="7">
        <f>+Tabla513[[#This Row],[ALMUERZO]]-Tabla513[[#This Row],[TERMINO ACT. AM]]</f>
        <v>6.9444444444444198E-3</v>
      </c>
      <c r="U4" s="7">
        <f>+Tabla513[[#This Row],[INICIO ACTIVIDADES PM]]-Tabla513[[#This Row],[ALMUERZO]]</f>
        <v>3.125E-2</v>
      </c>
      <c r="V4" s="7">
        <f>+Tabla513[[#This Row],[TERMINO ACTIVIDADES PM]]-Tabla513[[#This Row],[INICIO ACTIVIDADES PM]]</f>
        <v>1.736111111111116E-2</v>
      </c>
      <c r="W4" s="3">
        <f t="shared" ref="W4:W7" si="1">+$D$1</f>
        <v>0.33333333333333331</v>
      </c>
      <c r="X4" s="3">
        <f t="shared" ref="X4:X7" si="2">+$E$1</f>
        <v>0.35416666666666669</v>
      </c>
      <c r="Y4" s="3">
        <f t="shared" ref="Y4:Y7" si="3">+$F$1</f>
        <v>0.375</v>
      </c>
      <c r="Z4" s="3">
        <f t="shared" ref="Z4:Z7" si="4">+$G$1</f>
        <v>0.59375</v>
      </c>
      <c r="AA4" s="3">
        <f t="shared" ref="AA4:AA7" si="5">+$H$1</f>
        <v>0.61458333333333337</v>
      </c>
      <c r="AB4" s="3">
        <f t="shared" ref="AB4:AB7" si="6">+$I$1</f>
        <v>0.63541666666666663</v>
      </c>
      <c r="AC4" s="3">
        <f t="shared" ref="AC4:AC7" si="7">+$J$1</f>
        <v>0.66666666666666663</v>
      </c>
    </row>
    <row r="5" spans="1:29" x14ac:dyDescent="0.3">
      <c r="A5" s="12" t="s">
        <v>95</v>
      </c>
      <c r="B5" s="12" t="s">
        <v>27</v>
      </c>
      <c r="C5" s="4">
        <f>+Tabla5[[#This Row],[FECHA]]</f>
        <v>44909</v>
      </c>
      <c r="D5" s="37">
        <v>0.34027777777777773</v>
      </c>
      <c r="E5" s="37">
        <v>0.3666666666666667</v>
      </c>
      <c r="F5" s="37">
        <v>0.37847222222222227</v>
      </c>
      <c r="G5" s="46">
        <v>0.60347222222222219</v>
      </c>
      <c r="H5" s="46">
        <v>0.60763888888888895</v>
      </c>
      <c r="I5" s="46">
        <v>0.63402777777777775</v>
      </c>
      <c r="J5" s="46">
        <v>0.65972222222222221</v>
      </c>
      <c r="K5" s="47" t="s">
        <v>90</v>
      </c>
      <c r="M5" s="5"/>
      <c r="N5" s="5" t="s">
        <v>16</v>
      </c>
      <c r="O5" s="4">
        <f>Tabla513[[#This Row],[FECHA]]</f>
        <v>44909</v>
      </c>
      <c r="P5" s="7">
        <f>D5</f>
        <v>0.34027777777777773</v>
      </c>
      <c r="Q5" s="7">
        <f t="shared" si="0"/>
        <v>2.6388888888888962E-2</v>
      </c>
      <c r="R5" s="7">
        <f t="shared" si="0"/>
        <v>1.1805555555555569E-2</v>
      </c>
      <c r="S5" s="7">
        <f t="shared" si="0"/>
        <v>0.22499999999999992</v>
      </c>
      <c r="T5" s="7">
        <f>+Tabla513[[#This Row],[ALMUERZO]]-Tabla513[[#This Row],[TERMINO ACT. AM]]</f>
        <v>4.1666666666667629E-3</v>
      </c>
      <c r="U5" s="7">
        <f>+Tabla513[[#This Row],[INICIO ACTIVIDADES PM]]-Tabla513[[#This Row],[ALMUERZO]]</f>
        <v>2.6388888888888795E-2</v>
      </c>
      <c r="V5" s="7">
        <f>+Tabla513[[#This Row],[TERMINO ACTIVIDADES PM]]-Tabla513[[#This Row],[INICIO ACTIVIDADES PM]]</f>
        <v>2.5694444444444464E-2</v>
      </c>
      <c r="W5" s="3">
        <f t="shared" si="1"/>
        <v>0.33333333333333331</v>
      </c>
      <c r="X5" s="3">
        <f t="shared" si="2"/>
        <v>0.35416666666666669</v>
      </c>
      <c r="Y5" s="3">
        <f t="shared" si="3"/>
        <v>0.375</v>
      </c>
      <c r="Z5" s="3">
        <f t="shared" si="4"/>
        <v>0.59375</v>
      </c>
      <c r="AA5" s="3">
        <f t="shared" si="5"/>
        <v>0.61458333333333337</v>
      </c>
      <c r="AB5" s="3">
        <f t="shared" si="6"/>
        <v>0.63541666666666663</v>
      </c>
      <c r="AC5" s="3">
        <f t="shared" si="7"/>
        <v>0.66666666666666663</v>
      </c>
    </row>
    <row r="6" spans="1:29" x14ac:dyDescent="0.3">
      <c r="A6" s="12" t="s">
        <v>95</v>
      </c>
      <c r="B6" s="12" t="s">
        <v>28</v>
      </c>
      <c r="C6" s="4">
        <f>+Tabla5[[#This Row],[FECHA]]</f>
        <v>44910</v>
      </c>
      <c r="D6" s="37">
        <v>0.34375</v>
      </c>
      <c r="E6" s="37">
        <v>0.37152777777777773</v>
      </c>
      <c r="F6" s="37">
        <v>0.3833333333333333</v>
      </c>
      <c r="G6" s="46">
        <v>0.61319444444444449</v>
      </c>
      <c r="H6" s="37">
        <v>0.61805555555555558</v>
      </c>
      <c r="I6" s="46">
        <v>0.64236111111111105</v>
      </c>
      <c r="J6" s="46">
        <v>0.65972222222222221</v>
      </c>
      <c r="K6" s="47" t="s">
        <v>90</v>
      </c>
      <c r="M6" s="5"/>
      <c r="N6" s="5" t="s">
        <v>17</v>
      </c>
      <c r="O6" s="4">
        <f>Tabla513[[#This Row],[FECHA]]</f>
        <v>44910</v>
      </c>
      <c r="P6" s="7">
        <f>D6</f>
        <v>0.34375</v>
      </c>
      <c r="Q6" s="7">
        <f t="shared" si="0"/>
        <v>2.7777777777777735E-2</v>
      </c>
      <c r="R6" s="7">
        <f t="shared" si="0"/>
        <v>1.1805555555555569E-2</v>
      </c>
      <c r="S6" s="7">
        <f t="shared" si="0"/>
        <v>0.22986111111111118</v>
      </c>
      <c r="T6" s="7">
        <f>+Tabla513[[#This Row],[ALMUERZO]]-Tabla513[[#This Row],[TERMINO ACT. AM]]</f>
        <v>4.8611111111110938E-3</v>
      </c>
      <c r="U6" s="7">
        <f>+Tabla513[[#This Row],[INICIO ACTIVIDADES PM]]-Tabla513[[#This Row],[ALMUERZO]]</f>
        <v>2.4305555555555469E-2</v>
      </c>
      <c r="V6" s="7">
        <f>+Tabla513[[#This Row],[TERMINO ACTIVIDADES PM]]-Tabla513[[#This Row],[INICIO ACTIVIDADES PM]]</f>
        <v>1.736111111111116E-2</v>
      </c>
      <c r="W6" s="3">
        <f t="shared" si="1"/>
        <v>0.33333333333333331</v>
      </c>
      <c r="X6" s="3">
        <f t="shared" si="2"/>
        <v>0.35416666666666669</v>
      </c>
      <c r="Y6" s="3">
        <f t="shared" si="3"/>
        <v>0.375</v>
      </c>
      <c r="Z6" s="3">
        <f t="shared" si="4"/>
        <v>0.59375</v>
      </c>
      <c r="AA6" s="3">
        <f t="shared" si="5"/>
        <v>0.61458333333333337</v>
      </c>
      <c r="AB6" s="3">
        <f t="shared" si="6"/>
        <v>0.63541666666666663</v>
      </c>
      <c r="AC6" s="3">
        <f t="shared" si="7"/>
        <v>0.66666666666666663</v>
      </c>
    </row>
    <row r="7" spans="1:29" x14ac:dyDescent="0.3">
      <c r="A7" s="12" t="s">
        <v>95</v>
      </c>
      <c r="B7" s="12" t="s">
        <v>38</v>
      </c>
      <c r="C7" s="4">
        <f>+Tabla5[[#This Row],[FECHA]]</f>
        <v>44911</v>
      </c>
      <c r="D7" s="37">
        <v>0.34375</v>
      </c>
      <c r="E7" s="37">
        <v>0.37013888888888885</v>
      </c>
      <c r="F7" s="37">
        <v>0.37986111111111115</v>
      </c>
      <c r="G7" s="46">
        <v>0.60763888888888895</v>
      </c>
      <c r="H7" s="46">
        <v>0.61458333333333337</v>
      </c>
      <c r="I7" s="46">
        <v>0.64236111111111105</v>
      </c>
      <c r="J7" s="46">
        <v>0.65972222222222221</v>
      </c>
      <c r="K7" s="47" t="s">
        <v>90</v>
      </c>
      <c r="M7" s="5"/>
      <c r="N7" s="5" t="s">
        <v>18</v>
      </c>
      <c r="O7" s="4">
        <f>Tabla513[[#This Row],[FECHA]]</f>
        <v>44911</v>
      </c>
      <c r="P7" s="7">
        <f>D7</f>
        <v>0.34375</v>
      </c>
      <c r="Q7" s="7">
        <f t="shared" si="0"/>
        <v>2.6388888888888851E-2</v>
      </c>
      <c r="R7" s="7">
        <f t="shared" si="0"/>
        <v>9.7222222222222987E-3</v>
      </c>
      <c r="S7" s="7">
        <f t="shared" si="0"/>
        <v>0.2277777777777778</v>
      </c>
      <c r="T7" s="7">
        <f>+Tabla513[[#This Row],[ALMUERZO]]-Tabla513[[#This Row],[TERMINO ACT. AM]]</f>
        <v>6.9444444444444198E-3</v>
      </c>
      <c r="U7" s="7">
        <f>+Tabla513[[#This Row],[INICIO ACTIVIDADES PM]]-Tabla513[[#This Row],[ALMUERZO]]</f>
        <v>2.7777777777777679E-2</v>
      </c>
      <c r="V7" s="7">
        <f>+Tabla513[[#This Row],[TERMINO ACTIVIDADES PM]]-Tabla513[[#This Row],[INICIO ACTIVIDADES PM]]</f>
        <v>1.736111111111116E-2</v>
      </c>
      <c r="W7" s="3">
        <f t="shared" si="1"/>
        <v>0.33333333333333331</v>
      </c>
      <c r="X7" s="3">
        <f t="shared" si="2"/>
        <v>0.35416666666666669</v>
      </c>
      <c r="Y7" s="3">
        <f t="shared" si="3"/>
        <v>0.375</v>
      </c>
      <c r="Z7" s="3">
        <f t="shared" si="4"/>
        <v>0.59375</v>
      </c>
      <c r="AA7" s="3">
        <f t="shared" si="5"/>
        <v>0.61458333333333337</v>
      </c>
      <c r="AB7" s="3">
        <f t="shared" si="6"/>
        <v>0.63541666666666663</v>
      </c>
      <c r="AC7" s="3">
        <f t="shared" si="7"/>
        <v>0.66666666666666663</v>
      </c>
    </row>
    <row r="8" spans="1:29" x14ac:dyDescent="0.3">
      <c r="A8" s="11"/>
      <c r="B8" s="11"/>
      <c r="C8" s="4"/>
      <c r="D8" s="39"/>
      <c r="E8" s="50"/>
      <c r="F8" s="50"/>
      <c r="G8" s="50"/>
      <c r="H8" s="50"/>
      <c r="I8" s="50"/>
      <c r="J8" s="56"/>
      <c r="K8" s="38"/>
      <c r="M8" s="5"/>
      <c r="N8" s="5"/>
      <c r="O8" s="4"/>
      <c r="P8" s="7"/>
      <c r="Q8" s="7"/>
      <c r="R8" s="7"/>
      <c r="S8" s="7"/>
      <c r="T8" s="7"/>
      <c r="U8" s="7"/>
      <c r="V8" s="7"/>
      <c r="W8" s="3"/>
      <c r="X8" s="3"/>
      <c r="Y8" s="3"/>
      <c r="Z8" s="3"/>
      <c r="AA8" s="3"/>
      <c r="AB8" s="3"/>
      <c r="AC8" s="3"/>
    </row>
    <row r="9" spans="1:29" x14ac:dyDescent="0.3">
      <c r="A9" s="11"/>
      <c r="B9" s="11"/>
      <c r="C9" s="11"/>
      <c r="D9" s="11"/>
      <c r="E9" s="11"/>
      <c r="F9" s="11"/>
      <c r="G9" s="11"/>
      <c r="H9" s="11"/>
      <c r="I9" s="11"/>
      <c r="J9" s="46"/>
      <c r="K9" s="38"/>
      <c r="M9" s="5">
        <f>Tabla513[[#This Row],[Columna1]]</f>
        <v>0</v>
      </c>
      <c r="N9" s="5"/>
      <c r="O9" s="4"/>
      <c r="T9" s="3"/>
      <c r="X9" s="3"/>
      <c r="Y9" s="3"/>
      <c r="Z9" s="3"/>
      <c r="AA9" s="3"/>
      <c r="AB9" s="3"/>
      <c r="AC9" s="3"/>
    </row>
    <row r="10" spans="1:29" x14ac:dyDescent="0.3">
      <c r="A10" s="40"/>
      <c r="B10" s="40"/>
      <c r="C10" s="40"/>
      <c r="D10" s="40"/>
      <c r="E10" s="40"/>
      <c r="F10" s="40"/>
      <c r="G10" s="40"/>
      <c r="H10" s="40"/>
      <c r="I10" s="40"/>
      <c r="J10" s="46"/>
      <c r="K10" s="38"/>
      <c r="M10" s="18"/>
      <c r="N10" s="5"/>
      <c r="O10" s="4"/>
      <c r="T10" s="3"/>
      <c r="X10" s="3"/>
      <c r="Y10" s="3"/>
      <c r="Z10" s="3"/>
      <c r="AA10" s="3"/>
      <c r="AB10" s="3"/>
      <c r="AC10" s="3"/>
    </row>
    <row r="11" spans="1:29" x14ac:dyDescent="0.3">
      <c r="A11" s="40"/>
      <c r="B11" s="40"/>
      <c r="C11" s="40"/>
      <c r="D11" s="40"/>
      <c r="E11" s="40"/>
      <c r="F11" s="40"/>
      <c r="G11" s="40"/>
      <c r="H11" s="40"/>
      <c r="I11" s="40"/>
      <c r="J11" s="46"/>
      <c r="K11" s="38"/>
      <c r="M11" s="5"/>
      <c r="N11" s="5"/>
      <c r="O11" s="4"/>
      <c r="T11" s="3"/>
      <c r="X11" s="3"/>
      <c r="Y11" s="3"/>
      <c r="Z11" s="3"/>
      <c r="AA11" s="3"/>
      <c r="AB11" s="3"/>
      <c r="AC11" s="3"/>
    </row>
    <row r="12" spans="1:29" x14ac:dyDescent="0.3">
      <c r="A12" s="11"/>
      <c r="B12" s="11"/>
      <c r="C12" s="11"/>
      <c r="D12" s="11"/>
      <c r="E12" s="11"/>
      <c r="F12" s="11"/>
      <c r="G12" s="11"/>
      <c r="H12" s="11"/>
      <c r="I12" s="11"/>
      <c r="J12" s="46"/>
      <c r="K12" s="38"/>
      <c r="M12" s="5"/>
      <c r="N12" s="5"/>
      <c r="O12" s="4"/>
      <c r="T12" s="3"/>
      <c r="X12" s="3"/>
      <c r="Y12" s="3"/>
      <c r="Z12" s="3"/>
      <c r="AA12" s="3"/>
      <c r="AB12" s="3"/>
      <c r="AC12" s="3"/>
    </row>
    <row r="13" spans="1:29" ht="16.2" thickBot="1" x14ac:dyDescent="0.35">
      <c r="A13" s="12"/>
      <c r="B13" s="12"/>
      <c r="C13" s="12"/>
      <c r="D13" s="12"/>
      <c r="E13" s="12"/>
      <c r="F13" s="12"/>
      <c r="G13" s="12"/>
      <c r="H13" s="10"/>
      <c r="I13" s="10"/>
      <c r="J13" s="10"/>
      <c r="K13" s="50"/>
      <c r="M13" s="5"/>
      <c r="N13" s="5"/>
      <c r="O13" s="4"/>
      <c r="T13" s="3"/>
      <c r="X13" s="3"/>
      <c r="Y13" s="3"/>
      <c r="Z13" s="3"/>
      <c r="AA13" s="3"/>
      <c r="AB13" s="3"/>
      <c r="AC13" s="3"/>
    </row>
    <row r="14" spans="1:29" ht="16.2" thickBot="1" x14ac:dyDescent="0.35">
      <c r="A14" s="22"/>
      <c r="B14" s="22"/>
      <c r="C14" s="22"/>
      <c r="D14" s="22"/>
      <c r="E14" s="22"/>
      <c r="F14" s="23"/>
      <c r="G14" s="24" t="s">
        <v>24</v>
      </c>
      <c r="H14" s="24"/>
      <c r="I14" s="28"/>
      <c r="J14" s="28"/>
      <c r="K14" s="50"/>
      <c r="M14" s="5"/>
      <c r="N14" s="5"/>
      <c r="O14" s="4"/>
      <c r="T14" s="3"/>
      <c r="X14" s="3"/>
      <c r="Y14" s="3"/>
      <c r="Z14" s="3"/>
      <c r="AA14" s="3"/>
      <c r="AB14" s="3"/>
      <c r="AC14" s="3"/>
    </row>
    <row r="15" spans="1:29" ht="16.2" thickBot="1" x14ac:dyDescent="0.35">
      <c r="A15" s="22"/>
      <c r="B15" s="22"/>
      <c r="C15" s="22"/>
      <c r="D15" s="22"/>
      <c r="E15" s="22"/>
      <c r="F15" s="26" t="s">
        <v>29</v>
      </c>
      <c r="G15" s="26" t="s">
        <v>77</v>
      </c>
      <c r="H15" s="26"/>
      <c r="I15" s="28"/>
      <c r="J15" s="28"/>
      <c r="K15" s="50"/>
      <c r="T15" s="3"/>
    </row>
    <row r="16" spans="1:29" ht="16.2" thickBot="1" x14ac:dyDescent="0.35">
      <c r="A16" s="22"/>
      <c r="B16" s="22"/>
      <c r="C16" s="22"/>
      <c r="D16" s="22"/>
      <c r="E16" s="22"/>
      <c r="F16" s="23" t="s">
        <v>25</v>
      </c>
      <c r="G16" s="23">
        <f>+(G3-F3)+(J3-I3)</f>
        <v>0.25208333333333333</v>
      </c>
      <c r="H16" s="23"/>
      <c r="I16" s="28"/>
      <c r="J16" s="28"/>
      <c r="K16" s="51"/>
    </row>
    <row r="17" spans="1:20" ht="16.2" thickBot="1" x14ac:dyDescent="0.35">
      <c r="A17" s="22"/>
      <c r="B17" s="22"/>
      <c r="C17" s="22"/>
      <c r="D17" s="22"/>
      <c r="E17" s="22"/>
      <c r="F17" s="23" t="s">
        <v>26</v>
      </c>
      <c r="G17" s="23">
        <f>+(G4-F4)+(J4-I4)</f>
        <v>0.24166666666666664</v>
      </c>
      <c r="H17" s="23"/>
      <c r="I17" s="28"/>
      <c r="J17" s="28"/>
      <c r="K17" s="51"/>
    </row>
    <row r="18" spans="1:20" ht="16.2" thickBot="1" x14ac:dyDescent="0.35">
      <c r="A18" s="22"/>
      <c r="B18" s="22"/>
      <c r="C18" s="22"/>
      <c r="D18" s="22"/>
      <c r="E18" s="22"/>
      <c r="F18" s="23" t="s">
        <v>27</v>
      </c>
      <c r="G18" s="23">
        <f>+(G5-F5)+(J5-I5)</f>
        <v>0.25069444444444439</v>
      </c>
      <c r="H18" s="23"/>
      <c r="I18" s="28"/>
      <c r="J18" s="28"/>
      <c r="K18" s="51"/>
    </row>
    <row r="19" spans="1:20" ht="16.2" thickBot="1" x14ac:dyDescent="0.35">
      <c r="A19" s="22"/>
      <c r="B19" s="22"/>
      <c r="C19" s="22"/>
      <c r="D19" s="22"/>
      <c r="E19" s="22"/>
      <c r="F19" s="23" t="s">
        <v>28</v>
      </c>
      <c r="G19" s="23">
        <f>+(G6-F6)+(J6-I6)</f>
        <v>0.24722222222222234</v>
      </c>
      <c r="H19" s="23"/>
      <c r="I19" s="28"/>
      <c r="J19" s="28"/>
      <c r="K19" s="51"/>
    </row>
    <row r="20" spans="1:20" ht="16.2" thickBot="1" x14ac:dyDescent="0.35">
      <c r="A20" s="22"/>
      <c r="B20" s="22"/>
      <c r="C20" s="22"/>
      <c r="D20" s="22"/>
      <c r="E20" s="22"/>
      <c r="F20" s="23" t="s">
        <v>50</v>
      </c>
      <c r="G20" s="23">
        <f>+(G7-F7)+(J7-I7)</f>
        <v>0.24513888888888896</v>
      </c>
      <c r="H20" s="23"/>
      <c r="I20" s="28"/>
      <c r="J20" s="28"/>
      <c r="K20" s="51"/>
    </row>
    <row r="21" spans="1:20" ht="20.25" customHeight="1" thickBot="1" x14ac:dyDescent="0.35">
      <c r="A21" s="22"/>
      <c r="B21" s="22"/>
      <c r="C21" s="22"/>
      <c r="D21" s="22"/>
      <c r="E21" s="22"/>
      <c r="F21" s="30" t="s">
        <v>40</v>
      </c>
      <c r="G21" s="30">
        <f>+AVERAGEIF(G16:G20, "&lt;&gt; 0")</f>
        <v>0.24736111111111114</v>
      </c>
      <c r="H21" s="30"/>
      <c r="I21" s="28"/>
      <c r="J21" s="28"/>
      <c r="K21" s="51"/>
    </row>
    <row r="22" spans="1:20" ht="16.2" thickBot="1" x14ac:dyDescent="0.35">
      <c r="A22" s="22"/>
      <c r="B22" s="22"/>
      <c r="C22" s="22"/>
      <c r="D22" s="22"/>
      <c r="E22" s="22"/>
      <c r="F22" s="54" t="s">
        <v>0</v>
      </c>
      <c r="G22" s="54">
        <v>0.25</v>
      </c>
      <c r="H22" s="25"/>
      <c r="I22" s="28"/>
      <c r="J22" s="28"/>
    </row>
    <row r="23" spans="1:20" ht="16.2" thickBot="1" x14ac:dyDescent="0.35">
      <c r="A23" s="41"/>
      <c r="B23" s="41"/>
      <c r="C23" s="42"/>
      <c r="D23" s="43"/>
      <c r="E23" s="43"/>
      <c r="F23" s="30" t="s">
        <v>41</v>
      </c>
      <c r="G23" s="44">
        <f>G21/G22</f>
        <v>0.98944444444444457</v>
      </c>
      <c r="H23" s="44"/>
      <c r="I23" s="43"/>
      <c r="J23" s="28"/>
    </row>
    <row r="24" spans="1:20" x14ac:dyDescent="0.3">
      <c r="E24" s="3"/>
      <c r="F24" s="3"/>
      <c r="I24" s="28"/>
      <c r="J24" s="28"/>
    </row>
    <row r="25" spans="1:20" x14ac:dyDescent="0.3">
      <c r="T25" s="3"/>
    </row>
    <row r="26" spans="1:20" x14ac:dyDescent="0.3">
      <c r="T26" s="3"/>
    </row>
    <row r="27" spans="1:20" x14ac:dyDescent="0.3">
      <c r="T27" s="3"/>
    </row>
    <row r="28" spans="1:20" x14ac:dyDescent="0.3">
      <c r="T28" s="3"/>
    </row>
    <row r="29" spans="1:20" ht="15.6" customHeight="1" x14ac:dyDescent="0.3">
      <c r="H29" s="181" t="s">
        <v>105</v>
      </c>
      <c r="I29" s="182" t="s">
        <v>103</v>
      </c>
      <c r="T29" s="3"/>
    </row>
    <row r="30" spans="1:20" ht="15.6" customHeight="1" x14ac:dyDescent="0.3">
      <c r="H30" s="181"/>
      <c r="I30" s="183"/>
      <c r="T30" s="3"/>
    </row>
    <row r="31" spans="1:20" ht="15.6" customHeight="1" x14ac:dyDescent="0.3">
      <c r="H31" s="181"/>
      <c r="I31" s="183"/>
      <c r="T31" s="3"/>
    </row>
    <row r="32" spans="1:20" ht="15.6" customHeight="1" x14ac:dyDescent="0.3">
      <c r="H32" s="181"/>
      <c r="I32" s="184"/>
      <c r="T32" s="3"/>
    </row>
    <row r="33" spans="20:20" x14ac:dyDescent="0.3">
      <c r="T33" s="3"/>
    </row>
    <row r="34" spans="20:20" x14ac:dyDescent="0.3">
      <c r="T34" s="3"/>
    </row>
    <row r="35" spans="20:20" x14ac:dyDescent="0.3">
      <c r="T35" s="3"/>
    </row>
    <row r="36" spans="20:20" x14ac:dyDescent="0.3">
      <c r="T36" s="3"/>
    </row>
    <row r="37" spans="20:20" x14ac:dyDescent="0.3">
      <c r="T37" s="3"/>
    </row>
    <row r="38" spans="20:20" x14ac:dyDescent="0.3">
      <c r="T38" s="3"/>
    </row>
    <row r="39" spans="20:20" x14ac:dyDescent="0.3">
      <c r="T39" s="3"/>
    </row>
    <row r="40" spans="20:20" x14ac:dyDescent="0.3">
      <c r="T40" s="3"/>
    </row>
    <row r="41" spans="20:20" x14ac:dyDescent="0.3">
      <c r="T41" s="3"/>
    </row>
    <row r="42" spans="20:20" x14ac:dyDescent="0.3">
      <c r="T42" s="3"/>
    </row>
    <row r="43" spans="20:20" x14ac:dyDescent="0.3">
      <c r="T43" s="3"/>
    </row>
    <row r="44" spans="20:20" x14ac:dyDescent="0.3">
      <c r="T44" s="3"/>
    </row>
    <row r="45" spans="20:20" x14ac:dyDescent="0.3">
      <c r="T45" s="3"/>
    </row>
    <row r="46" spans="20:20" x14ac:dyDescent="0.3">
      <c r="T46" s="3"/>
    </row>
    <row r="47" spans="20:20" x14ac:dyDescent="0.3">
      <c r="T47" s="3"/>
    </row>
    <row r="48" spans="20:20" x14ac:dyDescent="0.3">
      <c r="T48" s="3"/>
    </row>
    <row r="49" spans="20:20" x14ac:dyDescent="0.3">
      <c r="T49" s="3"/>
    </row>
    <row r="50" spans="20:20" x14ac:dyDescent="0.3">
      <c r="T50" s="3"/>
    </row>
    <row r="51" spans="20:20" x14ac:dyDescent="0.3">
      <c r="T51" s="3"/>
    </row>
    <row r="52" spans="20:20" x14ac:dyDescent="0.3">
      <c r="T52" s="3"/>
    </row>
    <row r="53" spans="20:20" x14ac:dyDescent="0.3">
      <c r="T53" s="3"/>
    </row>
    <row r="54" spans="20:20" x14ac:dyDescent="0.3">
      <c r="T54" s="3"/>
    </row>
    <row r="55" spans="20:20" x14ac:dyDescent="0.3">
      <c r="T55" s="3"/>
    </row>
    <row r="56" spans="20:20" x14ac:dyDescent="0.3">
      <c r="T56" s="3"/>
    </row>
    <row r="57" spans="20:20" x14ac:dyDescent="0.3">
      <c r="T57" s="3"/>
    </row>
    <row r="58" spans="20:20" x14ac:dyDescent="0.3">
      <c r="T58" s="3"/>
    </row>
    <row r="59" spans="20:20" x14ac:dyDescent="0.3">
      <c r="T59" s="3"/>
    </row>
    <row r="60" spans="20:20" x14ac:dyDescent="0.3">
      <c r="T60" s="3"/>
    </row>
    <row r="61" spans="20:20" x14ac:dyDescent="0.3">
      <c r="T61" s="3"/>
    </row>
    <row r="62" spans="20:20" x14ac:dyDescent="0.3">
      <c r="T62" s="3"/>
    </row>
    <row r="63" spans="20:20" x14ac:dyDescent="0.3">
      <c r="T63" s="3"/>
    </row>
    <row r="64" spans="20:20" x14ac:dyDescent="0.3">
      <c r="T64" s="3"/>
    </row>
    <row r="65" spans="13:22" x14ac:dyDescent="0.3">
      <c r="T65" s="3"/>
    </row>
    <row r="66" spans="13:22" x14ac:dyDescent="0.3">
      <c r="T66" s="3"/>
    </row>
    <row r="67" spans="13:22" x14ac:dyDescent="0.3">
      <c r="T67" s="3"/>
    </row>
    <row r="68" spans="13:22" x14ac:dyDescent="0.3">
      <c r="T68" s="3"/>
    </row>
    <row r="69" spans="13:22" x14ac:dyDescent="0.3">
      <c r="T69" s="3"/>
    </row>
    <row r="70" spans="13:22" x14ac:dyDescent="0.3">
      <c r="T70" s="3"/>
    </row>
    <row r="71" spans="13:22" x14ac:dyDescent="0.3">
      <c r="T71" s="3"/>
    </row>
    <row r="72" spans="13:22" x14ac:dyDescent="0.3">
      <c r="M72" s="22"/>
      <c r="N72" s="22"/>
      <c r="O72" s="22"/>
      <c r="P72" s="22"/>
      <c r="Q72" s="22"/>
      <c r="R72" s="22"/>
      <c r="S72" s="22"/>
      <c r="T72" s="22"/>
      <c r="U72" s="22"/>
      <c r="V72" s="22"/>
    </row>
  </sheetData>
  <mergeCells count="2">
    <mergeCell ref="H29:H32"/>
    <mergeCell ref="I29:I32"/>
  </mergeCells>
  <pageMargins left="0.7" right="0.7" top="0.75" bottom="0.75" header="0.3" footer="0.3"/>
  <pageSetup orientation="portrait" horizontalDpi="1200" verticalDpi="1200" r:id="rId1"/>
  <drawing r:id="rId2"/>
  <tableParts count="2">
    <tablePart r:id="rId3"/>
    <tablePart r:id="rId4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"/>
  <sheetViews>
    <sheetView zoomScale="60" zoomScaleNormal="60" workbookViewId="0">
      <selection activeCell="N29" sqref="N29"/>
    </sheetView>
  </sheetViews>
  <sheetFormatPr baseColWidth="10" defaultRowHeight="15.6" x14ac:dyDescent="0.3"/>
  <cols>
    <col min="1" max="1" width="3.296875" customWidth="1"/>
    <col min="14" max="14" width="91.3984375" bestFit="1" customWidth="1"/>
  </cols>
  <sheetData>
    <row r="1" spans="1:13" x14ac:dyDescent="0.3">
      <c r="A1" s="22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</row>
    <row r="2" spans="1:13" x14ac:dyDescent="0.3">
      <c r="A2" s="22"/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</row>
    <row r="3" spans="1:13" x14ac:dyDescent="0.3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</row>
    <row r="4" spans="1:13" x14ac:dyDescent="0.3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</row>
    <row r="5" spans="1:13" x14ac:dyDescent="0.3">
      <c r="A5" s="22"/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</row>
    <row r="6" spans="1:13" x14ac:dyDescent="0.3">
      <c r="A6" s="22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</row>
    <row r="7" spans="1:13" x14ac:dyDescent="0.3">
      <c r="A7" s="22"/>
      <c r="B7" s="22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</row>
    <row r="8" spans="1:13" x14ac:dyDescent="0.3">
      <c r="A8" s="22"/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</row>
    <row r="9" spans="1:13" x14ac:dyDescent="0.3">
      <c r="A9" s="22"/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</row>
    <row r="10" spans="1:13" x14ac:dyDescent="0.3">
      <c r="A10" s="22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</row>
    <row r="11" spans="1:13" x14ac:dyDescent="0.3">
      <c r="A11" s="22"/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</row>
    <row r="12" spans="1:13" x14ac:dyDescent="0.3">
      <c r="A12" s="22"/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</row>
    <row r="13" spans="1:13" x14ac:dyDescent="0.3">
      <c r="A13" s="22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</row>
    <row r="14" spans="1:13" x14ac:dyDescent="0.3">
      <c r="A14" s="22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</row>
    <row r="15" spans="1:13" x14ac:dyDescent="0.3">
      <c r="A15" s="22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</row>
    <row r="16" spans="1:13" x14ac:dyDescent="0.3">
      <c r="A16" s="22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</row>
    <row r="17" spans="1:14" x14ac:dyDescent="0.3">
      <c r="A17" s="22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</row>
    <row r="18" spans="1:14" x14ac:dyDescent="0.3">
      <c r="A18" s="2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</row>
    <row r="19" spans="1:14" x14ac:dyDescent="0.3">
      <c r="A19" s="22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</row>
    <row r="20" spans="1:14" x14ac:dyDescent="0.3">
      <c r="A20" s="22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</row>
    <row r="21" spans="1:14" x14ac:dyDescent="0.3">
      <c r="A21" s="22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</row>
    <row r="22" spans="1:14" x14ac:dyDescent="0.3">
      <c r="A22" s="22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82"/>
    </row>
    <row r="23" spans="1:14" x14ac:dyDescent="0.3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83"/>
    </row>
    <row r="24" spans="1:14" x14ac:dyDescent="0.3">
      <c r="A24" s="22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83"/>
    </row>
    <row r="25" spans="1:14" x14ac:dyDescent="0.3">
      <c r="A25" s="22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</row>
    <row r="26" spans="1:14" x14ac:dyDescent="0.3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</row>
    <row r="27" spans="1:14" x14ac:dyDescent="0.3">
      <c r="A27" s="22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</row>
    <row r="28" spans="1:14" x14ac:dyDescent="0.3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</row>
    <row r="29" spans="1:14" x14ac:dyDescent="0.3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</row>
    <row r="30" spans="1:14" x14ac:dyDescent="0.3">
      <c r="A30" s="22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</row>
    <row r="31" spans="1:14" x14ac:dyDescent="0.3">
      <c r="A31" s="22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</row>
    <row r="32" spans="1:14" x14ac:dyDescent="0.3">
      <c r="A32" s="22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</row>
    <row r="33" spans="1:13" x14ac:dyDescent="0.3">
      <c r="A33" s="22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</row>
    <row r="34" spans="1:13" x14ac:dyDescent="0.3">
      <c r="A34" s="22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</row>
    <row r="35" spans="1:13" x14ac:dyDescent="0.3">
      <c r="A35" s="22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</row>
    <row r="36" spans="1:13" x14ac:dyDescent="0.3">
      <c r="A36" s="22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</row>
    <row r="37" spans="1:13" x14ac:dyDescent="0.3">
      <c r="A37" s="22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7"/>
  <sheetViews>
    <sheetView workbookViewId="0">
      <selection activeCell="B2" sqref="B2:I90"/>
    </sheetView>
  </sheetViews>
  <sheetFormatPr baseColWidth="10" defaultColWidth="10.8984375" defaultRowHeight="15.6" x14ac:dyDescent="0.3"/>
  <cols>
    <col min="1" max="1" width="10.8984375" style="2"/>
    <col min="2" max="2" width="25.3984375" style="2" customWidth="1"/>
    <col min="3" max="16384" width="10.8984375" style="2"/>
  </cols>
  <sheetData>
    <row r="1" spans="2:9" ht="16.2" thickBot="1" x14ac:dyDescent="0.35"/>
    <row r="2" spans="2:9" ht="18.600000000000001" thickBot="1" x14ac:dyDescent="0.4">
      <c r="B2" s="217" t="s">
        <v>67</v>
      </c>
      <c r="C2" s="218"/>
      <c r="D2" s="218"/>
      <c r="E2" s="218"/>
      <c r="F2" s="218"/>
      <c r="G2" s="218"/>
      <c r="H2" s="218"/>
      <c r="I2" s="219"/>
    </row>
    <row r="3" spans="2:9" ht="31.8" thickBot="1" x14ac:dyDescent="0.35">
      <c r="B3" s="59" t="s">
        <v>2</v>
      </c>
      <c r="C3" s="59" t="s">
        <v>0</v>
      </c>
      <c r="D3" s="59" t="s">
        <v>3</v>
      </c>
      <c r="E3" s="59" t="s">
        <v>4</v>
      </c>
      <c r="F3" s="59" t="s">
        <v>5</v>
      </c>
      <c r="G3" s="59" t="s">
        <v>6</v>
      </c>
      <c r="H3" s="59" t="s">
        <v>7</v>
      </c>
      <c r="I3" s="59" t="s">
        <v>8</v>
      </c>
    </row>
    <row r="4" spans="2:9" ht="16.2" thickBot="1" x14ac:dyDescent="0.35">
      <c r="B4" s="60" t="s">
        <v>68</v>
      </c>
      <c r="C4" s="61">
        <v>0.3263888888888889</v>
      </c>
      <c r="D4" s="62"/>
      <c r="E4" s="62"/>
      <c r="F4" s="62"/>
      <c r="G4" s="62"/>
      <c r="H4" s="62"/>
      <c r="I4" s="62" t="e">
        <f t="shared" ref="I4:I9" si="0">AVERAGE(D4:H4)</f>
        <v>#DIV/0!</v>
      </c>
    </row>
    <row r="5" spans="2:9" ht="16.2" thickBot="1" x14ac:dyDescent="0.35">
      <c r="B5" s="63" t="s">
        <v>69</v>
      </c>
      <c r="C5" s="64">
        <v>0.35416666666666669</v>
      </c>
      <c r="D5" s="65"/>
      <c r="E5" s="65"/>
      <c r="F5" s="65"/>
      <c r="G5" s="65"/>
      <c r="H5" s="65"/>
      <c r="I5" s="65" t="e">
        <f t="shared" si="0"/>
        <v>#DIV/0!</v>
      </c>
    </row>
    <row r="6" spans="2:9" ht="16.2" thickBot="1" x14ac:dyDescent="0.35">
      <c r="B6" s="63" t="s">
        <v>70</v>
      </c>
      <c r="C6" s="64">
        <v>0.375</v>
      </c>
      <c r="D6" s="65"/>
      <c r="E6" s="65"/>
      <c r="F6" s="65"/>
      <c r="G6" s="65"/>
      <c r="H6" s="65"/>
      <c r="I6" s="65" t="e">
        <f t="shared" si="0"/>
        <v>#DIV/0!</v>
      </c>
    </row>
    <row r="7" spans="2:9" ht="16.2" thickBot="1" x14ac:dyDescent="0.35">
      <c r="B7" s="63" t="s">
        <v>71</v>
      </c>
      <c r="C7" s="64">
        <v>0.60416666666666663</v>
      </c>
      <c r="D7" s="65"/>
      <c r="E7" s="65"/>
      <c r="F7" s="65"/>
      <c r="G7" s="65"/>
      <c r="H7" s="65"/>
      <c r="I7" s="65" t="e">
        <f t="shared" si="0"/>
        <v>#DIV/0!</v>
      </c>
    </row>
    <row r="8" spans="2:9" ht="16.2" thickBot="1" x14ac:dyDescent="0.35">
      <c r="B8" s="63" t="s">
        <v>68</v>
      </c>
      <c r="C8" s="64">
        <v>0.61458333333333337</v>
      </c>
      <c r="D8" s="65"/>
      <c r="E8" s="65"/>
      <c r="F8" s="65"/>
      <c r="G8" s="65"/>
      <c r="H8" s="65"/>
      <c r="I8" s="65" t="e">
        <f t="shared" si="0"/>
        <v>#DIV/0!</v>
      </c>
    </row>
    <row r="9" spans="2:9" ht="16.2" thickBot="1" x14ac:dyDescent="0.35">
      <c r="B9" s="66" t="s">
        <v>72</v>
      </c>
      <c r="C9" s="67">
        <v>0.65277777777777779</v>
      </c>
      <c r="D9" s="68"/>
      <c r="E9" s="68"/>
      <c r="F9" s="68"/>
      <c r="G9" s="68"/>
      <c r="H9" s="68"/>
      <c r="I9" s="68" t="e">
        <f t="shared" si="0"/>
        <v>#DIV/0!</v>
      </c>
    </row>
    <row r="10" spans="2:9" ht="16.2" thickBot="1" x14ac:dyDescent="0.35">
      <c r="B10"/>
      <c r="C10"/>
      <c r="D10"/>
      <c r="E10"/>
      <c r="F10"/>
      <c r="G10"/>
      <c r="H10"/>
      <c r="I10"/>
    </row>
    <row r="11" spans="2:9" ht="18.600000000000001" thickBot="1" x14ac:dyDescent="0.4">
      <c r="B11" s="217" t="s">
        <v>73</v>
      </c>
      <c r="C11" s="218"/>
      <c r="D11" s="218"/>
      <c r="E11" s="218"/>
      <c r="F11" s="218"/>
      <c r="G11" s="218"/>
      <c r="H11" s="218"/>
      <c r="I11" s="219"/>
    </row>
    <row r="12" spans="2:9" ht="31.8" thickBot="1" x14ac:dyDescent="0.35">
      <c r="B12" s="59" t="s">
        <v>2</v>
      </c>
      <c r="C12" s="59" t="s">
        <v>0</v>
      </c>
      <c r="D12" s="59" t="s">
        <v>3</v>
      </c>
      <c r="E12" s="59" t="s">
        <v>4</v>
      </c>
      <c r="F12" s="59" t="s">
        <v>5</v>
      </c>
      <c r="G12" s="59" t="s">
        <v>6</v>
      </c>
      <c r="H12" s="59" t="s">
        <v>7</v>
      </c>
      <c r="I12" s="59" t="s">
        <v>8</v>
      </c>
    </row>
    <row r="13" spans="2:9" ht="16.2" thickBot="1" x14ac:dyDescent="0.35">
      <c r="B13" s="60" t="s">
        <v>68</v>
      </c>
      <c r="C13" s="61">
        <v>0.32291666666666669</v>
      </c>
      <c r="D13" s="62"/>
      <c r="E13" s="62"/>
      <c r="F13" s="62"/>
      <c r="G13" s="62"/>
      <c r="H13" s="62"/>
      <c r="I13" s="62" t="e">
        <f t="shared" ref="I13:I18" si="1">AVERAGE(D13:H13)</f>
        <v>#DIV/0!</v>
      </c>
    </row>
    <row r="14" spans="2:9" ht="16.2" thickBot="1" x14ac:dyDescent="0.35">
      <c r="B14" s="63" t="s">
        <v>69</v>
      </c>
      <c r="C14" s="64">
        <v>0.34027777777777773</v>
      </c>
      <c r="D14" s="65"/>
      <c r="E14" s="65"/>
      <c r="F14" s="65"/>
      <c r="G14" s="65"/>
      <c r="H14" s="65"/>
      <c r="I14" s="65" t="e">
        <f t="shared" si="1"/>
        <v>#DIV/0!</v>
      </c>
    </row>
    <row r="15" spans="2:9" ht="16.2" thickBot="1" x14ac:dyDescent="0.35">
      <c r="B15" s="63" t="s">
        <v>70</v>
      </c>
      <c r="C15" s="64">
        <v>0.34722222222222227</v>
      </c>
      <c r="D15" s="65"/>
      <c r="E15" s="65"/>
      <c r="F15" s="65"/>
      <c r="G15" s="65"/>
      <c r="H15" s="65"/>
      <c r="I15" s="65" t="e">
        <f t="shared" si="1"/>
        <v>#DIV/0!</v>
      </c>
    </row>
    <row r="16" spans="2:9" ht="16.2" thickBot="1" x14ac:dyDescent="0.35">
      <c r="B16" s="63" t="s">
        <v>71</v>
      </c>
      <c r="C16" s="64">
        <v>0.625</v>
      </c>
      <c r="D16" s="65"/>
      <c r="E16" s="65"/>
      <c r="F16" s="65"/>
      <c r="G16" s="65"/>
      <c r="H16" s="65"/>
      <c r="I16" s="65" t="e">
        <f t="shared" si="1"/>
        <v>#DIV/0!</v>
      </c>
    </row>
    <row r="17" spans="2:9" ht="16.2" thickBot="1" x14ac:dyDescent="0.35">
      <c r="B17" s="63" t="s">
        <v>68</v>
      </c>
      <c r="C17" s="64">
        <v>0.63888888888888895</v>
      </c>
      <c r="D17" s="65"/>
      <c r="E17" s="65"/>
      <c r="F17" s="65"/>
      <c r="G17" s="65"/>
      <c r="H17" s="65"/>
      <c r="I17" s="65" t="e">
        <f t="shared" si="1"/>
        <v>#DIV/0!</v>
      </c>
    </row>
    <row r="18" spans="2:9" ht="16.2" thickBot="1" x14ac:dyDescent="0.35">
      <c r="B18" s="66" t="s">
        <v>72</v>
      </c>
      <c r="C18" s="67">
        <v>0.66666666666666663</v>
      </c>
      <c r="D18" s="68"/>
      <c r="E18" s="68"/>
      <c r="F18" s="68"/>
      <c r="G18" s="68"/>
      <c r="H18" s="68"/>
      <c r="I18" s="68" t="e">
        <f t="shared" si="1"/>
        <v>#DIV/0!</v>
      </c>
    </row>
    <row r="19" spans="2:9" ht="16.2" thickBot="1" x14ac:dyDescent="0.35">
      <c r="B19"/>
      <c r="C19"/>
      <c r="D19"/>
      <c r="E19"/>
      <c r="F19"/>
      <c r="G19"/>
      <c r="H19"/>
      <c r="I19"/>
    </row>
    <row r="20" spans="2:9" ht="18.600000000000001" thickBot="1" x14ac:dyDescent="0.4">
      <c r="B20" s="217" t="s">
        <v>74</v>
      </c>
      <c r="C20" s="218"/>
      <c r="D20" s="218"/>
      <c r="E20" s="218"/>
      <c r="F20" s="218"/>
      <c r="G20" s="218"/>
      <c r="H20" s="218"/>
      <c r="I20" s="219"/>
    </row>
    <row r="21" spans="2:9" ht="31.8" thickBot="1" x14ac:dyDescent="0.35">
      <c r="B21" s="59" t="s">
        <v>2</v>
      </c>
      <c r="C21" s="59" t="s">
        <v>0</v>
      </c>
      <c r="D21" s="59" t="s">
        <v>3</v>
      </c>
      <c r="E21" s="59" t="s">
        <v>4</v>
      </c>
      <c r="F21" s="59" t="s">
        <v>5</v>
      </c>
      <c r="G21" s="59" t="s">
        <v>6</v>
      </c>
      <c r="H21" s="59" t="s">
        <v>7</v>
      </c>
      <c r="I21" s="59" t="s">
        <v>8</v>
      </c>
    </row>
    <row r="22" spans="2:9" ht="16.2" thickBot="1" x14ac:dyDescent="0.35">
      <c r="B22" s="60" t="s">
        <v>68</v>
      </c>
      <c r="C22" s="61">
        <v>0.66666666666666663</v>
      </c>
      <c r="D22" s="62"/>
      <c r="E22" s="62"/>
      <c r="F22" s="62"/>
      <c r="G22" s="62"/>
      <c r="H22" s="62"/>
      <c r="I22" s="62" t="e">
        <f t="shared" ref="I22:I27" si="2">AVERAGE(D22:H22)</f>
        <v>#DIV/0!</v>
      </c>
    </row>
    <row r="23" spans="2:9" ht="16.2" thickBot="1" x14ac:dyDescent="0.35">
      <c r="B23" s="63" t="s">
        <v>69</v>
      </c>
      <c r="C23" s="64">
        <v>0.69791666666666663</v>
      </c>
      <c r="D23" s="65"/>
      <c r="E23" s="65"/>
      <c r="F23" s="65"/>
      <c r="G23" s="65"/>
      <c r="H23" s="65"/>
      <c r="I23" s="65" t="e">
        <f t="shared" si="2"/>
        <v>#DIV/0!</v>
      </c>
    </row>
    <row r="24" spans="2:9" ht="16.2" thickBot="1" x14ac:dyDescent="0.35">
      <c r="B24" s="63" t="s">
        <v>70</v>
      </c>
      <c r="C24" s="64">
        <v>0.71180555555555547</v>
      </c>
      <c r="D24" s="65"/>
      <c r="E24" s="65"/>
      <c r="F24" s="65"/>
      <c r="G24" s="65"/>
      <c r="H24" s="65"/>
      <c r="I24" s="65" t="e">
        <f t="shared" si="2"/>
        <v>#DIV/0!</v>
      </c>
    </row>
    <row r="25" spans="2:9" ht="16.2" thickBot="1" x14ac:dyDescent="0.35">
      <c r="B25" s="63" t="s">
        <v>71</v>
      </c>
      <c r="C25" s="64">
        <v>0.94791666666666663</v>
      </c>
      <c r="D25" s="65"/>
      <c r="E25" s="65"/>
      <c r="F25" s="65"/>
      <c r="G25" s="65"/>
      <c r="H25" s="65"/>
      <c r="I25" s="65" t="e">
        <f t="shared" si="2"/>
        <v>#DIV/0!</v>
      </c>
    </row>
    <row r="26" spans="2:9" ht="16.2" thickBot="1" x14ac:dyDescent="0.35">
      <c r="B26" s="63" t="s">
        <v>68</v>
      </c>
      <c r="C26" s="64">
        <v>0.95833333333333337</v>
      </c>
      <c r="D26" s="65"/>
      <c r="E26" s="65"/>
      <c r="F26" s="65"/>
      <c r="G26" s="65"/>
      <c r="H26" s="65"/>
      <c r="I26" s="65" t="e">
        <f t="shared" si="2"/>
        <v>#DIV/0!</v>
      </c>
    </row>
    <row r="27" spans="2:9" ht="16.2" thickBot="1" x14ac:dyDescent="0.35">
      <c r="B27" s="66" t="s">
        <v>72</v>
      </c>
      <c r="C27" s="67">
        <v>0.98611111111111116</v>
      </c>
      <c r="D27" s="68"/>
      <c r="E27" s="68"/>
      <c r="F27" s="68"/>
      <c r="G27" s="68"/>
      <c r="H27" s="68"/>
      <c r="I27" s="68" t="e">
        <f t="shared" si="2"/>
        <v>#DIV/0!</v>
      </c>
    </row>
  </sheetData>
  <mergeCells count="3">
    <mergeCell ref="B2:I2"/>
    <mergeCell ref="B11:I11"/>
    <mergeCell ref="B20:I20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72"/>
  <sheetViews>
    <sheetView showGridLines="0" zoomScale="60" zoomScaleNormal="60" workbookViewId="0">
      <selection activeCell="G8" sqref="G8"/>
    </sheetView>
  </sheetViews>
  <sheetFormatPr baseColWidth="10" defaultRowHeight="15.6" x14ac:dyDescent="0.3"/>
  <cols>
    <col min="1" max="1" width="18.59765625" customWidth="1"/>
    <col min="2" max="2" width="7.59765625" customWidth="1"/>
    <col min="3" max="3" width="15.69921875" customWidth="1"/>
    <col min="4" max="5" width="13.8984375" customWidth="1"/>
    <col min="6" max="6" width="14.69921875" customWidth="1"/>
    <col min="7" max="7" width="13.8984375" customWidth="1"/>
    <col min="8" max="8" width="13.59765625" customWidth="1"/>
    <col min="9" max="9" width="14.69921875" customWidth="1"/>
    <col min="10" max="10" width="14.59765625" customWidth="1"/>
    <col min="11" max="11" width="25.19921875" customWidth="1"/>
    <col min="12" max="12" width="17.8984375" customWidth="1"/>
    <col min="13" max="13" width="17.5" customWidth="1"/>
    <col min="14" max="14" width="12.8984375" bestFit="1" customWidth="1"/>
    <col min="15" max="15" width="12.19921875" bestFit="1" customWidth="1"/>
  </cols>
  <sheetData>
    <row r="1" spans="1:28" x14ac:dyDescent="0.3">
      <c r="C1" s="31" t="s">
        <v>0</v>
      </c>
      <c r="D1" s="32">
        <v>0.66666666666666663</v>
      </c>
      <c r="E1" s="32">
        <v>0.6875</v>
      </c>
      <c r="F1" s="32">
        <v>0.69791666666666663</v>
      </c>
      <c r="G1" s="32">
        <v>0.70486111111111116</v>
      </c>
      <c r="H1" s="32">
        <v>0.95486111111111116</v>
      </c>
      <c r="I1" s="32">
        <v>0.96180555555555547</v>
      </c>
      <c r="J1" s="32">
        <v>0.97222222222222221</v>
      </c>
    </row>
    <row r="2" spans="1:28" ht="62.4" x14ac:dyDescent="0.3">
      <c r="A2" s="13" t="s">
        <v>13</v>
      </c>
      <c r="B2" s="27" t="s">
        <v>39</v>
      </c>
      <c r="C2" s="14" t="s">
        <v>9</v>
      </c>
      <c r="D2" s="15" t="s">
        <v>1</v>
      </c>
      <c r="E2" s="15" t="s">
        <v>20</v>
      </c>
      <c r="F2" s="16" t="s">
        <v>42</v>
      </c>
      <c r="G2" s="16" t="s">
        <v>43</v>
      </c>
      <c r="H2" s="16" t="s">
        <v>21</v>
      </c>
      <c r="I2" s="17" t="s">
        <v>44</v>
      </c>
      <c r="J2" s="16" t="s">
        <v>45</v>
      </c>
      <c r="K2" s="35" t="s">
        <v>36</v>
      </c>
      <c r="M2" s="1" t="s">
        <v>11</v>
      </c>
      <c r="N2" s="1" t="s">
        <v>14</v>
      </c>
      <c r="O2" s="1" t="s">
        <v>12</v>
      </c>
      <c r="P2" s="8" t="s">
        <v>10</v>
      </c>
      <c r="Q2" s="6" t="s">
        <v>35</v>
      </c>
      <c r="R2" s="9" t="s">
        <v>34</v>
      </c>
      <c r="S2" s="6" t="s">
        <v>23</v>
      </c>
      <c r="T2" s="16" t="s">
        <v>53</v>
      </c>
      <c r="U2" s="6" t="s">
        <v>19</v>
      </c>
      <c r="V2" s="21" t="s">
        <v>22</v>
      </c>
      <c r="W2" s="19" t="s">
        <v>30</v>
      </c>
      <c r="X2" s="20" t="s">
        <v>31</v>
      </c>
      <c r="Y2" s="20" t="s">
        <v>32</v>
      </c>
      <c r="Z2" s="20" t="s">
        <v>33</v>
      </c>
      <c r="AA2" s="19" t="s">
        <v>46</v>
      </c>
      <c r="AB2" s="19" t="s">
        <v>47</v>
      </c>
    </row>
    <row r="3" spans="1:28" x14ac:dyDescent="0.3">
      <c r="A3" s="12" t="s">
        <v>96</v>
      </c>
      <c r="B3" s="12" t="s">
        <v>37</v>
      </c>
      <c r="C3" s="4">
        <f>+Tabla5[[#This Row],[FECHA]]</f>
        <v>44907</v>
      </c>
      <c r="D3" s="37">
        <v>0.67361111111111116</v>
      </c>
      <c r="E3" s="37">
        <v>0.68402777777777779</v>
      </c>
      <c r="F3" s="37">
        <v>0.70486111111111116</v>
      </c>
      <c r="G3" s="37">
        <v>0.93055555555555547</v>
      </c>
      <c r="H3" s="37">
        <v>0.93402777777777779</v>
      </c>
      <c r="I3" s="37">
        <v>0.96180555555555547</v>
      </c>
      <c r="J3" s="46">
        <v>0.99305555555555547</v>
      </c>
      <c r="K3" s="47"/>
      <c r="L3" s="53"/>
      <c r="M3" s="53"/>
      <c r="N3" s="57" t="s">
        <v>15</v>
      </c>
      <c r="O3" s="4">
        <f>Tabla51334[[#This Row],[FECHA]]</f>
        <v>44907</v>
      </c>
      <c r="P3" s="7">
        <f>D3</f>
        <v>0.67361111111111116</v>
      </c>
      <c r="Q3" s="7">
        <f>E3-D3</f>
        <v>1.041666666666663E-2</v>
      </c>
      <c r="R3" s="7">
        <f>F3-E3</f>
        <v>2.083333333333337E-2</v>
      </c>
      <c r="S3" s="7">
        <f>G3-F3</f>
        <v>0.22569444444444431</v>
      </c>
      <c r="T3" s="7">
        <f>+Tabla51334[[#This Row],[ALMUERZO]]-Tabla51334[[#This Row],[TERMINO ACT. AM]]</f>
        <v>3.4722222222223209E-3</v>
      </c>
      <c r="U3" s="7">
        <f>+Tabla51334[[#This Row],[INICIO ACTIVIDADES PM]]-Tabla51334[[#This Row],[ALMUERZO]]</f>
        <v>2.7777777777777679E-2</v>
      </c>
      <c r="V3" s="7">
        <f>+Tabla51334[[#This Row],[TERMINO ACTIVIDADES PM]]-Tabla51334[[#This Row],[INICIO ACTIVIDADES PM]]</f>
        <v>3.125E-2</v>
      </c>
      <c r="W3" s="3">
        <f>+$D$1</f>
        <v>0.66666666666666663</v>
      </c>
      <c r="X3" s="3">
        <f>+$E$1</f>
        <v>0.6875</v>
      </c>
      <c r="Y3" s="3">
        <f>+$F$1</f>
        <v>0.69791666666666663</v>
      </c>
      <c r="Z3" s="3">
        <f>+$G$1</f>
        <v>0.70486111111111116</v>
      </c>
      <c r="AA3" s="3">
        <f>+$H$1</f>
        <v>0.95486111111111116</v>
      </c>
      <c r="AB3" s="3">
        <f>+$I$1</f>
        <v>0.96180555555555547</v>
      </c>
    </row>
    <row r="4" spans="1:28" x14ac:dyDescent="0.3">
      <c r="A4" s="12" t="s">
        <v>96</v>
      </c>
      <c r="B4" s="12" t="s">
        <v>26</v>
      </c>
      <c r="C4" s="4">
        <f>+Tabla5[[#This Row],[FECHA]]</f>
        <v>44908</v>
      </c>
      <c r="D4" s="37">
        <v>0.67361111111111116</v>
      </c>
      <c r="E4" s="37">
        <v>0.6875</v>
      </c>
      <c r="F4" s="37">
        <v>0.71527777777777779</v>
      </c>
      <c r="G4" s="37">
        <v>0.93263888888888891</v>
      </c>
      <c r="H4" s="37">
        <v>0.9375</v>
      </c>
      <c r="I4" s="37">
        <v>0.96180555555555547</v>
      </c>
      <c r="J4" s="46">
        <v>0.99305555555555547</v>
      </c>
      <c r="K4" s="47"/>
      <c r="M4" s="5"/>
      <c r="N4" s="5" t="s">
        <v>16</v>
      </c>
      <c r="O4" s="4">
        <f>Tabla51334[[#This Row],[FECHA]]</f>
        <v>44908</v>
      </c>
      <c r="P4" s="7">
        <f>D4</f>
        <v>0.67361111111111116</v>
      </c>
      <c r="Q4" s="7">
        <f t="shared" ref="Q4:S7" si="0">E4-D4</f>
        <v>1.388888888888884E-2</v>
      </c>
      <c r="R4" s="7">
        <f t="shared" si="0"/>
        <v>2.777777777777779E-2</v>
      </c>
      <c r="S4" s="7">
        <f t="shared" si="0"/>
        <v>0.21736111111111112</v>
      </c>
      <c r="T4" s="7">
        <f>+Tabla51334[[#This Row],[ALMUERZO]]-Tabla51334[[#This Row],[TERMINO ACT. AM]]</f>
        <v>4.8611111111110938E-3</v>
      </c>
      <c r="U4" s="7">
        <f>+Tabla51334[[#This Row],[INICIO ACTIVIDADES PM]]-Tabla51334[[#This Row],[ALMUERZO]]</f>
        <v>2.4305555555555469E-2</v>
      </c>
      <c r="V4" s="7">
        <f>+Tabla51334[[#This Row],[TERMINO ACTIVIDADES PM]]-Tabla51334[[#This Row],[INICIO ACTIVIDADES PM]]</f>
        <v>3.125E-2</v>
      </c>
      <c r="W4" s="3">
        <f t="shared" ref="W4:W7" si="1">+$D$1</f>
        <v>0.66666666666666663</v>
      </c>
      <c r="X4" s="3">
        <f t="shared" ref="X4:X7" si="2">+$E$1</f>
        <v>0.6875</v>
      </c>
      <c r="Y4" s="3">
        <f t="shared" ref="Y4:Y7" si="3">+$F$1</f>
        <v>0.69791666666666663</v>
      </c>
      <c r="Z4" s="3">
        <f t="shared" ref="Z4:Z7" si="4">+$G$1</f>
        <v>0.70486111111111116</v>
      </c>
      <c r="AA4" s="3">
        <f t="shared" ref="AA4:AA7" si="5">+$H$1</f>
        <v>0.95486111111111116</v>
      </c>
      <c r="AB4" s="3">
        <f t="shared" ref="AB4:AB7" si="6">+$I$1</f>
        <v>0.96180555555555547</v>
      </c>
    </row>
    <row r="5" spans="1:28" x14ac:dyDescent="0.3">
      <c r="A5" s="12" t="s">
        <v>96</v>
      </c>
      <c r="B5" s="12" t="s">
        <v>27</v>
      </c>
      <c r="C5" s="4">
        <f>+Tabla5[[#This Row],[FECHA]]</f>
        <v>44909</v>
      </c>
      <c r="D5" s="37">
        <v>0.67361111111111116</v>
      </c>
      <c r="E5" s="37">
        <v>0.67708333333333337</v>
      </c>
      <c r="F5" s="37">
        <v>0.71180555555555547</v>
      </c>
      <c r="G5" s="37">
        <v>0.94097222222222221</v>
      </c>
      <c r="H5" s="37">
        <v>0.95138888888888884</v>
      </c>
      <c r="I5" s="37">
        <v>0.97916666666666663</v>
      </c>
      <c r="J5" s="46">
        <v>0.99305555555555547</v>
      </c>
      <c r="K5" s="47"/>
      <c r="M5" s="5"/>
      <c r="N5" s="5" t="s">
        <v>16</v>
      </c>
      <c r="O5" s="4">
        <f>Tabla51334[[#This Row],[FECHA]]</f>
        <v>44909</v>
      </c>
      <c r="P5" s="7">
        <f>D5</f>
        <v>0.67361111111111116</v>
      </c>
      <c r="Q5" s="7">
        <f t="shared" si="0"/>
        <v>3.4722222222222099E-3</v>
      </c>
      <c r="R5" s="7">
        <f t="shared" si="0"/>
        <v>3.4722222222222099E-2</v>
      </c>
      <c r="S5" s="7">
        <f t="shared" si="0"/>
        <v>0.22916666666666674</v>
      </c>
      <c r="T5" s="7">
        <f>+Tabla51334[[#This Row],[ALMUERZO]]-Tabla51334[[#This Row],[TERMINO ACT. AM]]</f>
        <v>1.041666666666663E-2</v>
      </c>
      <c r="U5" s="7">
        <f>+Tabla51334[[#This Row],[INICIO ACTIVIDADES PM]]-Tabla51334[[#This Row],[ALMUERZO]]</f>
        <v>2.777777777777779E-2</v>
      </c>
      <c r="V5" s="7">
        <f>+Tabla51334[[#This Row],[TERMINO ACTIVIDADES PM]]-Tabla51334[[#This Row],[INICIO ACTIVIDADES PM]]</f>
        <v>1.388888888888884E-2</v>
      </c>
      <c r="W5" s="3">
        <f t="shared" si="1"/>
        <v>0.66666666666666663</v>
      </c>
      <c r="X5" s="3">
        <f t="shared" si="2"/>
        <v>0.6875</v>
      </c>
      <c r="Y5" s="3">
        <f t="shared" si="3"/>
        <v>0.69791666666666663</v>
      </c>
      <c r="Z5" s="3">
        <f t="shared" si="4"/>
        <v>0.70486111111111116</v>
      </c>
      <c r="AA5" s="3">
        <f t="shared" si="5"/>
        <v>0.95486111111111116</v>
      </c>
      <c r="AB5" s="3">
        <f t="shared" si="6"/>
        <v>0.96180555555555547</v>
      </c>
    </row>
    <row r="6" spans="1:28" x14ac:dyDescent="0.3">
      <c r="A6" s="12" t="s">
        <v>96</v>
      </c>
      <c r="B6" s="12" t="s">
        <v>28</v>
      </c>
      <c r="C6" s="4">
        <f>+Tabla5[[#This Row],[FECHA]]</f>
        <v>44910</v>
      </c>
      <c r="D6" s="37">
        <v>0.67361111111111116</v>
      </c>
      <c r="E6" s="37">
        <v>0.68055555555555547</v>
      </c>
      <c r="F6" s="37">
        <v>0.71875</v>
      </c>
      <c r="G6" s="37">
        <v>0.94444444444444453</v>
      </c>
      <c r="H6" s="37">
        <v>0.94791666666666663</v>
      </c>
      <c r="I6" s="37">
        <v>0.96875</v>
      </c>
      <c r="J6" s="46">
        <v>0.99305555555555547</v>
      </c>
      <c r="K6" s="47"/>
      <c r="M6" s="5"/>
      <c r="N6" s="5" t="s">
        <v>17</v>
      </c>
      <c r="O6" s="4">
        <f>Tabla51334[[#This Row],[FECHA]]</f>
        <v>44910</v>
      </c>
      <c r="P6" s="7">
        <f>D6</f>
        <v>0.67361111111111116</v>
      </c>
      <c r="Q6" s="7">
        <f t="shared" si="0"/>
        <v>6.9444444444443088E-3</v>
      </c>
      <c r="R6" s="7">
        <f t="shared" si="0"/>
        <v>3.8194444444444531E-2</v>
      </c>
      <c r="S6" s="7">
        <f t="shared" si="0"/>
        <v>0.22569444444444453</v>
      </c>
      <c r="T6" s="7">
        <f>+Tabla51334[[#This Row],[ALMUERZO]]-Tabla51334[[#This Row],[TERMINO ACT. AM]]</f>
        <v>3.4722222222220989E-3</v>
      </c>
      <c r="U6" s="7">
        <f>+Tabla51334[[#This Row],[INICIO ACTIVIDADES PM]]-Tabla51334[[#This Row],[ALMUERZO]]</f>
        <v>2.083333333333337E-2</v>
      </c>
      <c r="V6" s="7">
        <f>+Tabla51334[[#This Row],[TERMINO ACTIVIDADES PM]]-Tabla51334[[#This Row],[INICIO ACTIVIDADES PM]]</f>
        <v>2.4305555555555469E-2</v>
      </c>
      <c r="W6" s="3">
        <f t="shared" si="1"/>
        <v>0.66666666666666663</v>
      </c>
      <c r="X6" s="3">
        <f t="shared" si="2"/>
        <v>0.6875</v>
      </c>
      <c r="Y6" s="3">
        <f t="shared" si="3"/>
        <v>0.69791666666666663</v>
      </c>
      <c r="Z6" s="3">
        <f t="shared" si="4"/>
        <v>0.70486111111111116</v>
      </c>
      <c r="AA6" s="3">
        <f t="shared" si="5"/>
        <v>0.95486111111111116</v>
      </c>
      <c r="AB6" s="3">
        <f t="shared" si="6"/>
        <v>0.96180555555555547</v>
      </c>
    </row>
    <row r="7" spans="1:28" x14ac:dyDescent="0.3">
      <c r="A7" s="12" t="s">
        <v>96</v>
      </c>
      <c r="B7" s="12" t="s">
        <v>38</v>
      </c>
      <c r="C7" s="4">
        <f>+Tabla5[[#This Row],[FECHA]]</f>
        <v>44911</v>
      </c>
      <c r="D7" s="37">
        <v>0.67361111111111116</v>
      </c>
      <c r="E7" s="37">
        <v>0.69097222222222221</v>
      </c>
      <c r="F7" s="37">
        <v>0.71527777777777779</v>
      </c>
      <c r="G7" s="46">
        <v>0.9375</v>
      </c>
      <c r="H7" s="37">
        <v>0.94791666666666663</v>
      </c>
      <c r="I7" s="37">
        <v>0.96875</v>
      </c>
      <c r="J7" s="46">
        <v>0.99305555555555547</v>
      </c>
      <c r="K7" s="47"/>
      <c r="M7" s="5"/>
      <c r="N7" s="5" t="s">
        <v>18</v>
      </c>
      <c r="O7" s="4">
        <f>Tabla51334[[#This Row],[FECHA]]</f>
        <v>44911</v>
      </c>
      <c r="P7" s="7">
        <f>D7</f>
        <v>0.67361111111111116</v>
      </c>
      <c r="Q7" s="7">
        <f t="shared" si="0"/>
        <v>1.7361111111111049E-2</v>
      </c>
      <c r="R7" s="7">
        <f t="shared" si="0"/>
        <v>2.430555555555558E-2</v>
      </c>
      <c r="S7" s="7">
        <f t="shared" si="0"/>
        <v>0.22222222222222221</v>
      </c>
      <c r="T7" s="7">
        <f>+Tabla51334[[#This Row],[ALMUERZO]]-Tabla51334[[#This Row],[TERMINO ACT. AM]]</f>
        <v>1.041666666666663E-2</v>
      </c>
      <c r="U7" s="7">
        <f>+Tabla51334[[#This Row],[INICIO ACTIVIDADES PM]]-Tabla51334[[#This Row],[ALMUERZO]]</f>
        <v>2.083333333333337E-2</v>
      </c>
      <c r="V7" s="7">
        <f>+Tabla51334[[#This Row],[TERMINO ACTIVIDADES PM]]-Tabla51334[[#This Row],[INICIO ACTIVIDADES PM]]</f>
        <v>2.4305555555555469E-2</v>
      </c>
      <c r="W7" s="3">
        <f t="shared" si="1"/>
        <v>0.66666666666666663</v>
      </c>
      <c r="X7" s="3">
        <f t="shared" si="2"/>
        <v>0.6875</v>
      </c>
      <c r="Y7" s="3">
        <f t="shared" si="3"/>
        <v>0.69791666666666663</v>
      </c>
      <c r="Z7" s="3">
        <f t="shared" si="4"/>
        <v>0.70486111111111116</v>
      </c>
      <c r="AA7" s="3">
        <f t="shared" si="5"/>
        <v>0.95486111111111116</v>
      </c>
      <c r="AB7" s="3">
        <f t="shared" si="6"/>
        <v>0.96180555555555547</v>
      </c>
    </row>
    <row r="8" spans="1:28" x14ac:dyDescent="0.3">
      <c r="A8" s="11"/>
      <c r="B8" s="11"/>
      <c r="C8" s="4"/>
      <c r="D8" s="39"/>
      <c r="E8" s="56"/>
      <c r="F8" s="56"/>
      <c r="G8" s="56"/>
      <c r="H8" s="56"/>
      <c r="I8" s="56"/>
      <c r="J8" s="46"/>
      <c r="K8" s="38"/>
      <c r="M8" s="5"/>
      <c r="N8" s="5"/>
      <c r="O8" s="4"/>
      <c r="T8" s="3"/>
      <c r="W8" s="3"/>
      <c r="X8" s="3"/>
      <c r="Y8" s="3"/>
      <c r="Z8" s="3"/>
      <c r="AA8" s="3"/>
      <c r="AB8" s="3"/>
    </row>
    <row r="9" spans="1:28" x14ac:dyDescent="0.3">
      <c r="A9" s="11"/>
      <c r="B9" s="11"/>
      <c r="C9" s="11"/>
      <c r="D9" s="37"/>
      <c r="E9" s="37"/>
      <c r="F9" s="37"/>
      <c r="G9" s="46"/>
      <c r="H9" s="46"/>
      <c r="I9" s="46"/>
      <c r="J9" s="46"/>
      <c r="K9" s="38"/>
      <c r="M9" s="5">
        <f>Tabla51334[[#This Row],[Columna1]]</f>
        <v>0</v>
      </c>
      <c r="N9" s="5"/>
      <c r="O9" s="4"/>
      <c r="T9" s="3"/>
      <c r="W9" s="3"/>
      <c r="X9" s="3"/>
      <c r="Y9" s="3"/>
      <c r="Z9" s="3"/>
      <c r="AA9" s="3"/>
      <c r="AB9" s="3"/>
    </row>
    <row r="10" spans="1:28" x14ac:dyDescent="0.3">
      <c r="A10" s="40"/>
      <c r="B10" s="40"/>
      <c r="C10" s="40"/>
      <c r="D10" s="37"/>
      <c r="E10" s="37"/>
      <c r="F10" s="37"/>
      <c r="G10" s="46"/>
      <c r="H10" s="46"/>
      <c r="I10" s="46"/>
      <c r="J10" s="46"/>
      <c r="K10" s="38"/>
      <c r="M10" s="18"/>
      <c r="N10" s="5"/>
      <c r="O10" s="4"/>
      <c r="T10" s="3"/>
      <c r="W10" s="3"/>
      <c r="X10" s="3"/>
      <c r="Y10" s="3"/>
      <c r="Z10" s="3"/>
      <c r="AA10" s="3"/>
      <c r="AB10" s="3"/>
    </row>
    <row r="11" spans="1:28" x14ac:dyDescent="0.3">
      <c r="A11" s="40"/>
      <c r="B11" s="40"/>
      <c r="C11" s="40"/>
      <c r="D11" s="37"/>
      <c r="E11" s="37"/>
      <c r="F11" s="37"/>
      <c r="G11" s="46"/>
      <c r="H11" s="37"/>
      <c r="I11" s="46"/>
      <c r="J11" s="46"/>
      <c r="K11" s="38"/>
      <c r="M11" s="5"/>
      <c r="N11" s="5"/>
      <c r="O11" s="4"/>
      <c r="T11" s="3"/>
      <c r="W11" s="3"/>
      <c r="X11" s="3"/>
      <c r="Y11" s="3"/>
      <c r="Z11" s="3"/>
      <c r="AA11" s="3"/>
      <c r="AB11" s="3"/>
    </row>
    <row r="12" spans="1:28" x14ac:dyDescent="0.3">
      <c r="A12" s="11"/>
      <c r="B12" s="11"/>
      <c r="C12" s="11"/>
      <c r="D12" s="37"/>
      <c r="E12" s="37"/>
      <c r="F12" s="37"/>
      <c r="G12" s="46"/>
      <c r="H12" s="46"/>
      <c r="I12" s="46"/>
      <c r="J12" s="46"/>
      <c r="K12" s="38"/>
      <c r="M12" s="5"/>
      <c r="N12" s="5"/>
      <c r="O12" s="4"/>
      <c r="T12" s="3"/>
      <c r="W12" s="3"/>
      <c r="X12" s="3"/>
      <c r="Y12" s="3"/>
      <c r="Z12" s="3"/>
      <c r="AA12" s="3"/>
      <c r="AB12" s="3"/>
    </row>
    <row r="13" spans="1:28" ht="16.2" thickBot="1" x14ac:dyDescent="0.35">
      <c r="A13" s="12"/>
      <c r="B13" s="12"/>
      <c r="C13" s="12"/>
      <c r="D13" s="12"/>
      <c r="E13" s="12"/>
      <c r="F13" s="12"/>
      <c r="G13" s="12"/>
      <c r="H13" s="12"/>
      <c r="I13" s="10"/>
      <c r="J13" s="10"/>
      <c r="K13" s="56"/>
      <c r="M13" s="5"/>
      <c r="N13" s="5"/>
      <c r="O13" s="4"/>
      <c r="T13" s="3"/>
      <c r="W13" s="3"/>
      <c r="X13" s="3"/>
      <c r="Y13" s="3"/>
      <c r="Z13" s="3"/>
      <c r="AA13" s="3"/>
      <c r="AB13" s="3"/>
    </row>
    <row r="14" spans="1:28" ht="16.2" thickBot="1" x14ac:dyDescent="0.35">
      <c r="A14" s="22"/>
      <c r="B14" s="22"/>
      <c r="C14" s="22"/>
      <c r="D14" s="22"/>
      <c r="E14" s="22"/>
      <c r="F14" s="23"/>
      <c r="G14" s="24" t="s">
        <v>24</v>
      </c>
      <c r="H14" s="24"/>
      <c r="I14" s="28"/>
      <c r="J14" s="28"/>
      <c r="K14" s="56"/>
      <c r="M14" s="5"/>
      <c r="N14" s="5"/>
      <c r="O14" s="4"/>
      <c r="T14" s="3"/>
      <c r="W14" s="3"/>
      <c r="X14" s="3"/>
      <c r="Y14" s="3"/>
      <c r="Z14" s="3"/>
      <c r="AA14" s="3"/>
      <c r="AB14" s="3"/>
    </row>
    <row r="15" spans="1:28" ht="16.2" thickBot="1" x14ac:dyDescent="0.35">
      <c r="A15" s="22"/>
      <c r="B15" s="22"/>
      <c r="C15" s="22"/>
      <c r="D15" s="22"/>
      <c r="E15" s="22"/>
      <c r="F15" s="26" t="s">
        <v>29</v>
      </c>
      <c r="G15" s="26" t="s">
        <v>79</v>
      </c>
      <c r="H15" s="26"/>
      <c r="I15" s="28"/>
      <c r="J15" s="28"/>
      <c r="K15" s="56"/>
      <c r="T15" s="3"/>
    </row>
    <row r="16" spans="1:28" ht="16.2" thickBot="1" x14ac:dyDescent="0.35">
      <c r="A16" s="22"/>
      <c r="B16" s="22"/>
      <c r="C16" s="22"/>
      <c r="D16" s="22"/>
      <c r="E16" s="22"/>
      <c r="F16" s="23" t="s">
        <v>25</v>
      </c>
      <c r="G16" s="23">
        <f>+(G3-F3)+(J3-I3)</f>
        <v>0.25694444444444431</v>
      </c>
      <c r="H16" s="23"/>
      <c r="I16" s="28"/>
      <c r="J16" s="28"/>
      <c r="K16" s="58"/>
    </row>
    <row r="17" spans="1:20" ht="16.2" thickBot="1" x14ac:dyDescent="0.35">
      <c r="A17" s="22"/>
      <c r="B17" s="22"/>
      <c r="C17" s="22"/>
      <c r="D17" s="22"/>
      <c r="E17" s="22"/>
      <c r="F17" s="23" t="s">
        <v>26</v>
      </c>
      <c r="G17" s="23">
        <f>+(G4-F4)+(J4-I4)</f>
        <v>0.24861111111111112</v>
      </c>
      <c r="H17" s="23"/>
      <c r="I17" s="28"/>
      <c r="J17" s="28"/>
      <c r="K17" s="58"/>
    </row>
    <row r="18" spans="1:20" ht="16.2" thickBot="1" x14ac:dyDescent="0.35">
      <c r="A18" s="22"/>
      <c r="B18" s="22"/>
      <c r="C18" s="22"/>
      <c r="D18" s="22"/>
      <c r="E18" s="22"/>
      <c r="F18" s="23" t="s">
        <v>27</v>
      </c>
      <c r="G18" s="23">
        <f>+(G5-F5)+(J5-I5)</f>
        <v>0.24305555555555558</v>
      </c>
      <c r="H18" s="23"/>
      <c r="I18" s="28"/>
      <c r="J18" s="28"/>
      <c r="K18" s="58"/>
    </row>
    <row r="19" spans="1:20" ht="16.2" thickBot="1" x14ac:dyDescent="0.35">
      <c r="A19" s="22"/>
      <c r="B19" s="22"/>
      <c r="C19" s="22"/>
      <c r="D19" s="22"/>
      <c r="E19" s="22"/>
      <c r="F19" s="23" t="s">
        <v>28</v>
      </c>
      <c r="G19" s="23">
        <f>+(G6-F6)+(J6-I6)</f>
        <v>0.25</v>
      </c>
      <c r="H19" s="23"/>
      <c r="I19" s="28"/>
      <c r="J19" s="28"/>
      <c r="K19" s="58"/>
    </row>
    <row r="20" spans="1:20" ht="16.2" thickBot="1" x14ac:dyDescent="0.35">
      <c r="A20" s="22"/>
      <c r="B20" s="22"/>
      <c r="C20" s="22"/>
      <c r="D20" s="22"/>
      <c r="E20" s="22"/>
      <c r="F20" s="23" t="s">
        <v>50</v>
      </c>
      <c r="G20" s="23">
        <f>+(G7-F7)+(J7-I7)</f>
        <v>0.24652777777777768</v>
      </c>
      <c r="H20" s="23"/>
      <c r="I20" s="28"/>
      <c r="J20" s="28"/>
      <c r="K20" s="58"/>
    </row>
    <row r="21" spans="1:20" ht="16.2" thickBot="1" x14ac:dyDescent="0.35">
      <c r="A21" s="22"/>
      <c r="B21" s="22"/>
      <c r="C21" s="22"/>
      <c r="D21" s="22"/>
      <c r="E21" s="22"/>
      <c r="F21" s="30" t="s">
        <v>40</v>
      </c>
      <c r="G21" s="30">
        <f>+AVERAGEIF(G16:G20, "&lt;&gt; 0")</f>
        <v>0.24902777777777771</v>
      </c>
      <c r="H21" s="30"/>
      <c r="I21" s="28"/>
      <c r="J21" s="28"/>
      <c r="K21" s="58"/>
    </row>
    <row r="22" spans="1:20" ht="16.2" thickBot="1" x14ac:dyDescent="0.35">
      <c r="A22" s="22"/>
      <c r="B22" s="22"/>
      <c r="C22" s="22"/>
      <c r="D22" s="22"/>
      <c r="E22" s="22"/>
      <c r="F22" s="54" t="s">
        <v>0</v>
      </c>
      <c r="G22" s="54">
        <v>0.25</v>
      </c>
      <c r="H22" s="25"/>
      <c r="I22" s="28"/>
      <c r="J22" s="28"/>
    </row>
    <row r="23" spans="1:20" ht="16.2" thickBot="1" x14ac:dyDescent="0.35">
      <c r="A23" s="41"/>
      <c r="B23" s="41"/>
      <c r="C23" s="42"/>
      <c r="D23" s="43"/>
      <c r="E23" s="43"/>
      <c r="F23" s="30" t="s">
        <v>41</v>
      </c>
      <c r="G23" s="44">
        <f>G21/G22</f>
        <v>0.99611111111111084</v>
      </c>
      <c r="H23" s="44"/>
      <c r="I23" s="43"/>
      <c r="J23" s="28"/>
    </row>
    <row r="24" spans="1:20" x14ac:dyDescent="0.3">
      <c r="E24" s="3"/>
      <c r="F24" s="3"/>
      <c r="I24" s="28"/>
      <c r="J24" s="28"/>
    </row>
    <row r="25" spans="1:20" x14ac:dyDescent="0.3">
      <c r="T25" s="3"/>
    </row>
    <row r="26" spans="1:20" x14ac:dyDescent="0.3">
      <c r="T26" s="3"/>
    </row>
    <row r="27" spans="1:20" ht="15.6" customHeight="1" x14ac:dyDescent="0.3">
      <c r="H27" s="181" t="s">
        <v>105</v>
      </c>
      <c r="I27" s="182" t="s">
        <v>104</v>
      </c>
      <c r="T27" s="3"/>
    </row>
    <row r="28" spans="1:20" ht="15.6" customHeight="1" x14ac:dyDescent="0.3">
      <c r="H28" s="181"/>
      <c r="I28" s="183"/>
      <c r="T28" s="3"/>
    </row>
    <row r="29" spans="1:20" ht="15.6" customHeight="1" x14ac:dyDescent="0.3">
      <c r="H29" s="181"/>
      <c r="I29" s="183"/>
      <c r="T29" s="3"/>
    </row>
    <row r="30" spans="1:20" ht="15.6" customHeight="1" x14ac:dyDescent="0.3">
      <c r="H30" s="181"/>
      <c r="I30" s="184"/>
      <c r="T30" s="3"/>
    </row>
    <row r="31" spans="1:20" x14ac:dyDescent="0.3">
      <c r="T31" s="3"/>
    </row>
    <row r="32" spans="1:20" x14ac:dyDescent="0.3">
      <c r="T32" s="3"/>
    </row>
    <row r="33" spans="20:20" x14ac:dyDescent="0.3">
      <c r="T33" s="3"/>
    </row>
    <row r="34" spans="20:20" x14ac:dyDescent="0.3">
      <c r="T34" s="3"/>
    </row>
    <row r="35" spans="20:20" x14ac:dyDescent="0.3">
      <c r="T35" s="3"/>
    </row>
    <row r="36" spans="20:20" x14ac:dyDescent="0.3">
      <c r="T36" s="3"/>
    </row>
    <row r="37" spans="20:20" x14ac:dyDescent="0.3">
      <c r="T37" s="3"/>
    </row>
    <row r="38" spans="20:20" x14ac:dyDescent="0.3">
      <c r="T38" s="3"/>
    </row>
    <row r="39" spans="20:20" x14ac:dyDescent="0.3">
      <c r="T39" s="3"/>
    </row>
    <row r="40" spans="20:20" x14ac:dyDescent="0.3">
      <c r="T40" s="3"/>
    </row>
    <row r="41" spans="20:20" x14ac:dyDescent="0.3">
      <c r="T41" s="3"/>
    </row>
    <row r="42" spans="20:20" x14ac:dyDescent="0.3">
      <c r="T42" s="3"/>
    </row>
    <row r="43" spans="20:20" x14ac:dyDescent="0.3">
      <c r="T43" s="3"/>
    </row>
    <row r="44" spans="20:20" x14ac:dyDescent="0.3">
      <c r="T44" s="3"/>
    </row>
    <row r="45" spans="20:20" x14ac:dyDescent="0.3">
      <c r="T45" s="3"/>
    </row>
    <row r="46" spans="20:20" x14ac:dyDescent="0.3">
      <c r="T46" s="3"/>
    </row>
    <row r="47" spans="20:20" x14ac:dyDescent="0.3">
      <c r="T47" s="3"/>
    </row>
    <row r="48" spans="20:20" x14ac:dyDescent="0.3">
      <c r="T48" s="3"/>
    </row>
    <row r="49" spans="20:20" x14ac:dyDescent="0.3">
      <c r="T49" s="3"/>
    </row>
    <row r="50" spans="20:20" x14ac:dyDescent="0.3">
      <c r="T50" s="3"/>
    </row>
    <row r="51" spans="20:20" x14ac:dyDescent="0.3">
      <c r="T51" s="3"/>
    </row>
    <row r="52" spans="20:20" x14ac:dyDescent="0.3">
      <c r="T52" s="3"/>
    </row>
    <row r="53" spans="20:20" x14ac:dyDescent="0.3">
      <c r="T53" s="3"/>
    </row>
    <row r="54" spans="20:20" x14ac:dyDescent="0.3">
      <c r="T54" s="3"/>
    </row>
    <row r="55" spans="20:20" x14ac:dyDescent="0.3">
      <c r="T55" s="3"/>
    </row>
    <row r="56" spans="20:20" x14ac:dyDescent="0.3">
      <c r="T56" s="3"/>
    </row>
    <row r="57" spans="20:20" x14ac:dyDescent="0.3">
      <c r="T57" s="3"/>
    </row>
    <row r="58" spans="20:20" x14ac:dyDescent="0.3">
      <c r="T58" s="3"/>
    </row>
    <row r="59" spans="20:20" x14ac:dyDescent="0.3">
      <c r="T59" s="3"/>
    </row>
    <row r="60" spans="20:20" x14ac:dyDescent="0.3">
      <c r="T60" s="3"/>
    </row>
    <row r="61" spans="20:20" x14ac:dyDescent="0.3">
      <c r="T61" s="3"/>
    </row>
    <row r="62" spans="20:20" x14ac:dyDescent="0.3">
      <c r="T62" s="3"/>
    </row>
    <row r="63" spans="20:20" x14ac:dyDescent="0.3">
      <c r="T63" s="3"/>
    </row>
    <row r="64" spans="20:20" x14ac:dyDescent="0.3">
      <c r="T64" s="3"/>
    </row>
    <row r="65" spans="13:22" x14ac:dyDescent="0.3">
      <c r="T65" s="3"/>
    </row>
    <row r="66" spans="13:22" x14ac:dyDescent="0.3">
      <c r="T66" s="3"/>
    </row>
    <row r="67" spans="13:22" x14ac:dyDescent="0.3">
      <c r="T67" s="3"/>
    </row>
    <row r="68" spans="13:22" x14ac:dyDescent="0.3">
      <c r="T68" s="3"/>
    </row>
    <row r="69" spans="13:22" x14ac:dyDescent="0.3">
      <c r="T69" s="3"/>
    </row>
    <row r="70" spans="13:22" x14ac:dyDescent="0.3">
      <c r="T70" s="3"/>
    </row>
    <row r="71" spans="13:22" x14ac:dyDescent="0.3">
      <c r="T71" s="3"/>
    </row>
    <row r="72" spans="13:22" x14ac:dyDescent="0.3">
      <c r="M72" s="22"/>
      <c r="N72" s="22"/>
      <c r="O72" s="22"/>
      <c r="P72" s="22"/>
      <c r="Q72" s="22"/>
      <c r="R72" s="22"/>
      <c r="S72" s="22"/>
      <c r="T72" s="22"/>
      <c r="U72" s="22"/>
      <c r="V72" s="22"/>
    </row>
  </sheetData>
  <mergeCells count="2">
    <mergeCell ref="H27:H30"/>
    <mergeCell ref="I27:I30"/>
  </mergeCells>
  <pageMargins left="0.7" right="0.7" top="0.75" bottom="0.75" header="0.3" footer="0.3"/>
  <pageSetup orientation="portrait" horizontalDpi="1200" verticalDpi="1200" r:id="rId1"/>
  <drawing r:id="rId2"/>
  <tableParts count="2"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2"/>
  <sheetViews>
    <sheetView showGridLines="0" zoomScale="60" zoomScaleNormal="60" workbookViewId="0">
      <selection activeCell="H10" sqref="H10"/>
    </sheetView>
  </sheetViews>
  <sheetFormatPr baseColWidth="10" defaultRowHeight="15.6" x14ac:dyDescent="0.3"/>
  <cols>
    <col min="1" max="1" width="18.59765625" customWidth="1"/>
    <col min="2" max="2" width="7.59765625" customWidth="1"/>
    <col min="3" max="3" width="15.69921875" customWidth="1"/>
    <col min="4" max="4" width="14.19921875" customWidth="1"/>
    <col min="5" max="5" width="14.3984375" customWidth="1"/>
    <col min="6" max="6" width="15.8984375" customWidth="1"/>
    <col min="7" max="7" width="13.69921875" customWidth="1"/>
    <col min="8" max="8" width="14.3984375" customWidth="1"/>
    <col min="9" max="9" width="14.59765625" customWidth="1"/>
    <col min="10" max="10" width="16.19921875" customWidth="1"/>
    <col min="11" max="11" width="26.69921875" customWidth="1"/>
    <col min="12" max="12" width="12.19921875" bestFit="1" customWidth="1"/>
    <col min="22" max="22" width="14.19921875" customWidth="1"/>
  </cols>
  <sheetData>
    <row r="1" spans="1:24" x14ac:dyDescent="0.3">
      <c r="C1" s="31" t="s">
        <v>0</v>
      </c>
      <c r="D1" s="32">
        <v>0.33333333333333331</v>
      </c>
      <c r="E1" s="32">
        <v>0.35416666666666669</v>
      </c>
      <c r="F1" s="32">
        <v>0.375</v>
      </c>
      <c r="G1" s="32">
        <v>0.59375</v>
      </c>
      <c r="H1" s="32">
        <v>0.61458333333333337</v>
      </c>
      <c r="I1" s="32">
        <v>0.63541666666666663</v>
      </c>
      <c r="J1" s="32">
        <v>0.66666666666666663</v>
      </c>
    </row>
    <row r="2" spans="1:24" ht="46.8" x14ac:dyDescent="0.3">
      <c r="A2" s="13" t="s">
        <v>13</v>
      </c>
      <c r="B2" s="27" t="s">
        <v>39</v>
      </c>
      <c r="C2" s="14" t="s">
        <v>9</v>
      </c>
      <c r="D2" s="15" t="s">
        <v>1</v>
      </c>
      <c r="E2" s="15" t="s">
        <v>20</v>
      </c>
      <c r="F2" s="16" t="s">
        <v>42</v>
      </c>
      <c r="G2" s="16" t="s">
        <v>43</v>
      </c>
      <c r="H2" s="16" t="s">
        <v>21</v>
      </c>
      <c r="I2" s="17" t="s">
        <v>44</v>
      </c>
      <c r="J2" s="16" t="s">
        <v>45</v>
      </c>
      <c r="K2" s="35" t="s">
        <v>36</v>
      </c>
      <c r="M2" s="1" t="s">
        <v>11</v>
      </c>
      <c r="N2" s="1" t="s">
        <v>14</v>
      </c>
      <c r="O2" s="1" t="s">
        <v>12</v>
      </c>
      <c r="P2" s="8" t="s">
        <v>10</v>
      </c>
      <c r="Q2" s="6" t="s">
        <v>35</v>
      </c>
      <c r="R2" s="9" t="s">
        <v>34</v>
      </c>
      <c r="S2" s="6" t="s">
        <v>23</v>
      </c>
      <c r="T2" s="16" t="s">
        <v>53</v>
      </c>
      <c r="U2" s="6" t="s">
        <v>19</v>
      </c>
      <c r="V2" s="21" t="s">
        <v>22</v>
      </c>
      <c r="W2" s="19" t="s">
        <v>30</v>
      </c>
      <c r="X2" s="20" t="s">
        <v>31</v>
      </c>
    </row>
    <row r="3" spans="1:24" x14ac:dyDescent="0.3">
      <c r="A3" s="12" t="s">
        <v>89</v>
      </c>
      <c r="B3" s="12" t="s">
        <v>37</v>
      </c>
      <c r="C3" s="4">
        <f>+Tabla5[[#This Row],[FECHA]]</f>
        <v>44907</v>
      </c>
      <c r="D3" s="37">
        <v>0.34027777777777773</v>
      </c>
      <c r="E3" s="37">
        <v>0.36458333333333331</v>
      </c>
      <c r="F3" s="37">
        <v>0.38055555555555554</v>
      </c>
      <c r="G3" s="37">
        <v>0.61111111111111105</v>
      </c>
      <c r="H3" s="37">
        <v>0.62152777777777779</v>
      </c>
      <c r="I3" s="37">
        <v>0.64583333333333337</v>
      </c>
      <c r="J3" s="46">
        <v>0.65972222222222221</v>
      </c>
      <c r="K3" s="47"/>
      <c r="L3" s="53"/>
      <c r="M3" s="53"/>
      <c r="N3" s="57" t="s">
        <v>15</v>
      </c>
      <c r="O3" s="4">
        <f>Tabla536[[#This Row],[FECHA]]</f>
        <v>44907</v>
      </c>
      <c r="P3" s="7">
        <f>D3</f>
        <v>0.34027777777777773</v>
      </c>
      <c r="Q3" s="7">
        <f>E3-D3</f>
        <v>2.430555555555558E-2</v>
      </c>
      <c r="R3" s="7">
        <f>F3-E3</f>
        <v>1.5972222222222221E-2</v>
      </c>
      <c r="S3" s="7">
        <f>G3-F3</f>
        <v>0.23055555555555551</v>
      </c>
      <c r="T3" s="7">
        <f>+Tabla536[[#This Row],[ALMUERZO]]-Tabla536[[#This Row],[TERMINO ACT. AM]]</f>
        <v>1.0416666666666741E-2</v>
      </c>
      <c r="U3" s="7">
        <f>+Tabla536[[#This Row],[INICIO ACTIVIDADES PM]]-Tabla536[[#This Row],[ALMUERZO]]</f>
        <v>2.430555555555558E-2</v>
      </c>
      <c r="V3" s="7">
        <f>+Tabla536[[#This Row],[TERMINO ACTIVIDADES PM]]-Tabla536[[#This Row],[INICIO ACTIVIDADES PM]]</f>
        <v>1.388888888888884E-2</v>
      </c>
      <c r="W3" s="3">
        <f>+$D$1</f>
        <v>0.33333333333333331</v>
      </c>
      <c r="X3" s="3">
        <f>+$E$1</f>
        <v>0.35416666666666669</v>
      </c>
    </row>
    <row r="4" spans="1:24" x14ac:dyDescent="0.3">
      <c r="A4" s="12" t="s">
        <v>89</v>
      </c>
      <c r="B4" s="12" t="s">
        <v>26</v>
      </c>
      <c r="C4" s="4">
        <f>+Tabla5[[#This Row],[FECHA]]</f>
        <v>44908</v>
      </c>
      <c r="D4" s="37">
        <v>0.34375</v>
      </c>
      <c r="E4" s="37">
        <v>0.36805555555555558</v>
      </c>
      <c r="F4" s="37">
        <v>0.37847222222222227</v>
      </c>
      <c r="G4" s="37">
        <v>0.61111111111111105</v>
      </c>
      <c r="H4" s="37">
        <v>0.61805555555555558</v>
      </c>
      <c r="I4" s="37">
        <v>0.64236111111111105</v>
      </c>
      <c r="J4" s="46">
        <v>0.65972222222222221</v>
      </c>
      <c r="K4" s="47"/>
      <c r="M4" s="5"/>
      <c r="N4" s="5" t="s">
        <v>16</v>
      </c>
      <c r="O4" s="4">
        <f>Tabla536[[#This Row],[FECHA]]</f>
        <v>44908</v>
      </c>
      <c r="P4" s="7">
        <f>D4</f>
        <v>0.34375</v>
      </c>
      <c r="Q4" s="7">
        <f t="shared" ref="Q4:S7" si="0">E4-D4</f>
        <v>2.430555555555558E-2</v>
      </c>
      <c r="R4" s="7">
        <f t="shared" si="0"/>
        <v>1.0416666666666685E-2</v>
      </c>
      <c r="S4" s="7">
        <f t="shared" si="0"/>
        <v>0.23263888888888878</v>
      </c>
      <c r="T4" s="7">
        <f>+Tabla536[[#This Row],[ALMUERZO]]-Tabla536[[#This Row],[TERMINO ACT. AM]]</f>
        <v>6.9444444444445308E-3</v>
      </c>
      <c r="U4" s="7">
        <f>+Tabla536[[#This Row],[INICIO ACTIVIDADES PM]]-Tabla536[[#This Row],[ALMUERZO]]</f>
        <v>2.4305555555555469E-2</v>
      </c>
      <c r="V4" s="7">
        <f>+Tabla536[[#This Row],[TERMINO ACTIVIDADES PM]]-Tabla536[[#This Row],[INICIO ACTIVIDADES PM]]</f>
        <v>1.736111111111116E-2</v>
      </c>
      <c r="W4" s="3">
        <f t="shared" ref="W4:W7" si="1">+$D$1</f>
        <v>0.33333333333333331</v>
      </c>
      <c r="X4" s="3">
        <f t="shared" ref="X4:X7" si="2">+$E$1</f>
        <v>0.35416666666666669</v>
      </c>
    </row>
    <row r="5" spans="1:24" x14ac:dyDescent="0.3">
      <c r="A5" s="12" t="s">
        <v>89</v>
      </c>
      <c r="B5" s="12" t="s">
        <v>27</v>
      </c>
      <c r="C5" s="4">
        <f>+Tabla5[[#This Row],[FECHA]]</f>
        <v>44909</v>
      </c>
      <c r="D5" s="37">
        <v>0.34027777777777773</v>
      </c>
      <c r="E5" s="37">
        <v>0.36458333333333331</v>
      </c>
      <c r="F5" s="37">
        <v>0.38194444444444442</v>
      </c>
      <c r="G5" s="37">
        <v>0.61111111111111105</v>
      </c>
      <c r="H5" s="37">
        <v>0.61805555555555558</v>
      </c>
      <c r="I5" s="37">
        <v>0.64236111111111105</v>
      </c>
      <c r="J5" s="46">
        <v>0.65972222222222221</v>
      </c>
      <c r="K5" s="47"/>
      <c r="M5" s="5"/>
      <c r="N5" s="5" t="s">
        <v>16</v>
      </c>
      <c r="O5" s="4">
        <f>Tabla536[[#This Row],[FECHA]]</f>
        <v>44909</v>
      </c>
      <c r="P5" s="7">
        <f>D5</f>
        <v>0.34027777777777773</v>
      </c>
      <c r="Q5" s="7">
        <f t="shared" si="0"/>
        <v>2.430555555555558E-2</v>
      </c>
      <c r="R5" s="7">
        <f t="shared" si="0"/>
        <v>1.7361111111111105E-2</v>
      </c>
      <c r="S5" s="7">
        <f t="shared" si="0"/>
        <v>0.22916666666666663</v>
      </c>
      <c r="T5" s="7">
        <f>+Tabla536[[#This Row],[ALMUERZO]]-Tabla536[[#This Row],[TERMINO ACT. AM]]</f>
        <v>6.9444444444445308E-3</v>
      </c>
      <c r="U5" s="7">
        <f>+Tabla536[[#This Row],[INICIO ACTIVIDADES PM]]-Tabla536[[#This Row],[ALMUERZO]]</f>
        <v>2.4305555555555469E-2</v>
      </c>
      <c r="V5" s="7">
        <f>+Tabla536[[#This Row],[TERMINO ACTIVIDADES PM]]-Tabla536[[#This Row],[INICIO ACTIVIDADES PM]]</f>
        <v>1.736111111111116E-2</v>
      </c>
      <c r="W5" s="3">
        <f t="shared" si="1"/>
        <v>0.33333333333333331</v>
      </c>
      <c r="X5" s="3">
        <f t="shared" si="2"/>
        <v>0.35416666666666669</v>
      </c>
    </row>
    <row r="6" spans="1:24" x14ac:dyDescent="0.3">
      <c r="A6" s="12" t="s">
        <v>89</v>
      </c>
      <c r="B6" s="12" t="s">
        <v>28</v>
      </c>
      <c r="C6" s="4">
        <f>+Tabla5[[#This Row],[FECHA]]</f>
        <v>44910</v>
      </c>
      <c r="D6" s="37">
        <v>0.33680555555555558</v>
      </c>
      <c r="E6" s="37">
        <v>0.36944444444444446</v>
      </c>
      <c r="F6" s="37">
        <v>0.38055555555555554</v>
      </c>
      <c r="G6" s="37">
        <v>0.61111111111111105</v>
      </c>
      <c r="H6" s="37">
        <v>0.61805555555555558</v>
      </c>
      <c r="I6" s="37">
        <v>0.64236111111111105</v>
      </c>
      <c r="J6" s="46">
        <v>0.65972222222222221</v>
      </c>
      <c r="K6" s="47"/>
      <c r="M6" s="5"/>
      <c r="N6" s="5" t="s">
        <v>17</v>
      </c>
      <c r="O6" s="4">
        <f>Tabla536[[#This Row],[FECHA]]</f>
        <v>44910</v>
      </c>
      <c r="P6" s="7">
        <f>D6</f>
        <v>0.33680555555555558</v>
      </c>
      <c r="Q6" s="7">
        <f t="shared" si="0"/>
        <v>3.2638888888888884E-2</v>
      </c>
      <c r="R6" s="7">
        <f t="shared" si="0"/>
        <v>1.1111111111111072E-2</v>
      </c>
      <c r="S6" s="7">
        <f t="shared" si="0"/>
        <v>0.23055555555555551</v>
      </c>
      <c r="T6" s="7">
        <f>+Tabla536[[#This Row],[ALMUERZO]]-Tabla536[[#This Row],[TERMINO ACT. AM]]</f>
        <v>6.9444444444445308E-3</v>
      </c>
      <c r="U6" s="7">
        <f>+Tabla536[[#This Row],[INICIO ACTIVIDADES PM]]-Tabla536[[#This Row],[ALMUERZO]]</f>
        <v>2.4305555555555469E-2</v>
      </c>
      <c r="V6" s="7">
        <f>+Tabla536[[#This Row],[TERMINO ACTIVIDADES PM]]-Tabla536[[#This Row],[INICIO ACTIVIDADES PM]]</f>
        <v>1.736111111111116E-2</v>
      </c>
      <c r="W6" s="3">
        <f t="shared" si="1"/>
        <v>0.33333333333333331</v>
      </c>
      <c r="X6" s="3">
        <f t="shared" si="2"/>
        <v>0.35416666666666669</v>
      </c>
    </row>
    <row r="7" spans="1:24" x14ac:dyDescent="0.3">
      <c r="A7" s="12" t="s">
        <v>89</v>
      </c>
      <c r="B7" s="12" t="s">
        <v>38</v>
      </c>
      <c r="C7" s="4">
        <f>+Tabla5[[#This Row],[FECHA]]</f>
        <v>44911</v>
      </c>
      <c r="D7" s="37">
        <v>0.33819444444444446</v>
      </c>
      <c r="E7" s="37">
        <v>0.36805555555555558</v>
      </c>
      <c r="F7" s="37">
        <v>0.3833333333333333</v>
      </c>
      <c r="G7" s="37">
        <v>0.61458333333333337</v>
      </c>
      <c r="H7" s="37">
        <v>0.61805555555555558</v>
      </c>
      <c r="I7" s="37">
        <v>0.64236111111111105</v>
      </c>
      <c r="J7" s="46">
        <v>0.65972222222222221</v>
      </c>
      <c r="K7" s="47"/>
      <c r="M7" s="5"/>
      <c r="N7" s="5" t="s">
        <v>18</v>
      </c>
      <c r="O7" s="4">
        <f>Tabla536[[#This Row],[FECHA]]</f>
        <v>44911</v>
      </c>
      <c r="P7" s="7">
        <f>D7</f>
        <v>0.33819444444444446</v>
      </c>
      <c r="Q7" s="7">
        <f t="shared" si="0"/>
        <v>2.9861111111111116E-2</v>
      </c>
      <c r="R7" s="7">
        <f t="shared" si="0"/>
        <v>1.5277777777777724E-2</v>
      </c>
      <c r="S7" s="7">
        <f t="shared" si="0"/>
        <v>0.23125000000000007</v>
      </c>
      <c r="T7" s="7">
        <f>+Tabla536[[#This Row],[ALMUERZO]]-Tabla536[[#This Row],[TERMINO ACT. AM]]</f>
        <v>3.4722222222222099E-3</v>
      </c>
      <c r="U7" s="7">
        <f>+Tabla536[[#This Row],[INICIO ACTIVIDADES PM]]-Tabla536[[#This Row],[ALMUERZO]]</f>
        <v>2.4305555555555469E-2</v>
      </c>
      <c r="V7" s="7">
        <f>+Tabla536[[#This Row],[TERMINO ACTIVIDADES PM]]-Tabla536[[#This Row],[INICIO ACTIVIDADES PM]]</f>
        <v>1.736111111111116E-2</v>
      </c>
      <c r="W7" s="3">
        <f t="shared" si="1"/>
        <v>0.33333333333333331</v>
      </c>
      <c r="X7" s="3">
        <f t="shared" si="2"/>
        <v>0.35416666666666669</v>
      </c>
    </row>
    <row r="8" spans="1:24" x14ac:dyDescent="0.3">
      <c r="A8" s="11"/>
      <c r="B8" s="11"/>
      <c r="C8" s="4"/>
      <c r="D8" s="39"/>
      <c r="E8" s="56"/>
      <c r="F8" s="56"/>
      <c r="G8" s="56"/>
      <c r="H8" s="56"/>
      <c r="I8" s="56"/>
      <c r="J8" s="56"/>
      <c r="K8" s="38"/>
      <c r="M8" s="5"/>
      <c r="N8" s="5"/>
      <c r="O8" s="4"/>
      <c r="P8" s="7"/>
      <c r="Q8" s="7"/>
      <c r="R8" s="7"/>
      <c r="S8" s="7"/>
      <c r="T8" s="7"/>
      <c r="U8" s="7"/>
      <c r="V8" s="7"/>
      <c r="W8" s="3"/>
      <c r="X8" s="3"/>
    </row>
    <row r="9" spans="1:24" x14ac:dyDescent="0.3">
      <c r="A9" s="11"/>
      <c r="B9" s="11"/>
      <c r="C9" s="11"/>
      <c r="D9" s="37"/>
      <c r="E9" s="37"/>
      <c r="F9" s="37"/>
      <c r="G9" s="37"/>
      <c r="H9" s="37"/>
      <c r="I9" s="37"/>
      <c r="J9" s="46"/>
      <c r="K9" s="38"/>
      <c r="M9" s="5">
        <f>Tabla536[[#This Row],[Columna1]]</f>
        <v>0</v>
      </c>
      <c r="N9" s="5"/>
      <c r="O9" s="4"/>
      <c r="V9" s="7"/>
      <c r="W9" s="3"/>
      <c r="X9" s="3"/>
    </row>
    <row r="10" spans="1:24" x14ac:dyDescent="0.3">
      <c r="A10" s="40"/>
      <c r="B10" s="40"/>
      <c r="C10" s="40"/>
      <c r="D10" s="37"/>
      <c r="E10" s="37"/>
      <c r="F10" s="37"/>
      <c r="G10" s="37"/>
      <c r="H10" s="37"/>
      <c r="I10" s="37"/>
      <c r="J10" s="46"/>
      <c r="K10" s="38"/>
      <c r="M10" s="18"/>
      <c r="N10" s="5"/>
      <c r="O10" s="4"/>
      <c r="V10" s="7"/>
      <c r="W10" s="3"/>
      <c r="X10" s="3"/>
    </row>
    <row r="11" spans="1:24" x14ac:dyDescent="0.3">
      <c r="A11" s="40"/>
      <c r="B11" s="40"/>
      <c r="C11" s="40"/>
      <c r="D11" s="37"/>
      <c r="E11" s="37"/>
      <c r="F11" s="37"/>
      <c r="G11" s="37"/>
      <c r="H11" s="37"/>
      <c r="I11" s="37"/>
      <c r="J11" s="46"/>
      <c r="K11" s="38"/>
      <c r="M11" s="5"/>
      <c r="N11" s="5"/>
      <c r="O11" s="4"/>
      <c r="V11" s="7"/>
      <c r="W11" s="3"/>
      <c r="X11" s="3"/>
    </row>
    <row r="12" spans="1:24" x14ac:dyDescent="0.3">
      <c r="A12" s="11"/>
      <c r="B12" s="11"/>
      <c r="C12" s="11"/>
      <c r="D12" s="37"/>
      <c r="E12" s="37"/>
      <c r="F12" s="37"/>
      <c r="G12" s="37"/>
      <c r="H12" s="37"/>
      <c r="I12" s="37"/>
      <c r="J12" s="46"/>
      <c r="K12" s="38"/>
      <c r="M12" s="5"/>
      <c r="N12" s="5"/>
      <c r="O12" s="4"/>
      <c r="V12" s="7"/>
      <c r="W12" s="3"/>
      <c r="X12" s="3"/>
    </row>
    <row r="13" spans="1:24" ht="16.2" thickBot="1" x14ac:dyDescent="0.35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56"/>
      <c r="M13" s="5"/>
      <c r="N13" s="5"/>
      <c r="O13" s="4"/>
      <c r="V13" s="7"/>
      <c r="W13" s="3"/>
      <c r="X13" s="3"/>
    </row>
    <row r="14" spans="1:24" ht="16.2" thickBot="1" x14ac:dyDescent="0.35">
      <c r="A14" s="22"/>
      <c r="B14" s="22"/>
      <c r="C14" s="22"/>
      <c r="D14" s="22"/>
      <c r="E14" s="22"/>
      <c r="F14" s="23"/>
      <c r="G14" s="24" t="s">
        <v>24</v>
      </c>
      <c r="H14" s="24"/>
      <c r="I14" s="28"/>
      <c r="J14" s="28"/>
      <c r="K14" s="56"/>
      <c r="M14" s="5"/>
      <c r="N14" s="5"/>
      <c r="O14" s="4"/>
      <c r="V14" s="7"/>
      <c r="W14" s="3"/>
      <c r="X14" s="3"/>
    </row>
    <row r="15" spans="1:24" ht="16.2" thickBot="1" x14ac:dyDescent="0.35">
      <c r="A15" s="22"/>
      <c r="B15" s="22"/>
      <c r="C15" s="22"/>
      <c r="D15" s="22"/>
      <c r="E15" s="22"/>
      <c r="F15" s="26" t="s">
        <v>29</v>
      </c>
      <c r="G15" s="26" t="s">
        <v>57</v>
      </c>
      <c r="H15" s="26"/>
      <c r="I15" s="28"/>
      <c r="J15" s="28"/>
      <c r="K15" s="56"/>
    </row>
    <row r="16" spans="1:24" ht="16.2" thickBot="1" x14ac:dyDescent="0.35">
      <c r="A16" s="22"/>
      <c r="B16" s="22"/>
      <c r="C16" s="22"/>
      <c r="D16" s="22"/>
      <c r="E16" s="22"/>
      <c r="F16" s="23" t="s">
        <v>25</v>
      </c>
      <c r="G16" s="23">
        <f>+(G3-F3)+(J3-I3)</f>
        <v>0.24444444444444435</v>
      </c>
      <c r="H16" s="23"/>
      <c r="I16" s="28"/>
      <c r="J16" s="28"/>
      <c r="K16" s="58"/>
    </row>
    <row r="17" spans="1:20" ht="16.2" thickBot="1" x14ac:dyDescent="0.35">
      <c r="A17" s="22"/>
      <c r="B17" s="22"/>
      <c r="C17" s="22"/>
      <c r="D17" s="22"/>
      <c r="E17" s="22"/>
      <c r="F17" s="23" t="s">
        <v>26</v>
      </c>
      <c r="G17" s="23">
        <f>+(G4-F4)+(J4-I4)</f>
        <v>0.24999999999999994</v>
      </c>
      <c r="H17" s="23"/>
      <c r="I17" s="28"/>
      <c r="J17" s="28"/>
      <c r="K17" s="58"/>
    </row>
    <row r="18" spans="1:20" ht="16.2" thickBot="1" x14ac:dyDescent="0.35">
      <c r="A18" s="22"/>
      <c r="B18" s="22"/>
      <c r="C18" s="22"/>
      <c r="D18" s="22"/>
      <c r="E18" s="22"/>
      <c r="F18" s="23" t="s">
        <v>27</v>
      </c>
      <c r="G18" s="23">
        <f>+(G5-F5)+(J5-I5)</f>
        <v>0.24652777777777779</v>
      </c>
      <c r="H18" s="23"/>
      <c r="I18" s="28"/>
      <c r="J18" s="28"/>
      <c r="K18" s="58"/>
    </row>
    <row r="19" spans="1:20" ht="16.2" thickBot="1" x14ac:dyDescent="0.35">
      <c r="A19" s="22"/>
      <c r="B19" s="22"/>
      <c r="C19" s="22"/>
      <c r="D19" s="22"/>
      <c r="E19" s="22"/>
      <c r="F19" s="23" t="s">
        <v>28</v>
      </c>
      <c r="G19" s="23">
        <f>+(G6-F6)+(J6-I6)</f>
        <v>0.24791666666666667</v>
      </c>
      <c r="H19" s="23"/>
      <c r="I19" s="28"/>
      <c r="J19" s="28"/>
      <c r="K19" s="58"/>
    </row>
    <row r="20" spans="1:20" ht="16.2" thickBot="1" x14ac:dyDescent="0.35">
      <c r="A20" s="22"/>
      <c r="B20" s="22"/>
      <c r="C20" s="22"/>
      <c r="D20" s="22"/>
      <c r="E20" s="22"/>
      <c r="F20" s="23" t="s">
        <v>50</v>
      </c>
      <c r="G20" s="23">
        <f>+(G7-F7)+(J7-I7)</f>
        <v>0.24861111111111123</v>
      </c>
      <c r="H20" s="23"/>
      <c r="I20" s="28"/>
      <c r="J20" s="28"/>
      <c r="K20" s="58"/>
    </row>
    <row r="21" spans="1:20" ht="16.2" thickBot="1" x14ac:dyDescent="0.35">
      <c r="A21" s="22"/>
      <c r="B21" s="22"/>
      <c r="C21" s="22"/>
      <c r="D21" s="22"/>
      <c r="E21" s="22"/>
      <c r="F21" s="30" t="s">
        <v>40</v>
      </c>
      <c r="G21" s="30">
        <f>+AVERAGEIF(G16:G20, "&lt;&gt; 0")</f>
        <v>0.2475</v>
      </c>
      <c r="H21" s="30"/>
      <c r="I21" s="28"/>
      <c r="J21" s="28"/>
      <c r="K21" s="58"/>
    </row>
    <row r="22" spans="1:20" ht="16.2" thickBot="1" x14ac:dyDescent="0.35">
      <c r="A22" s="22"/>
      <c r="B22" s="22"/>
      <c r="C22" s="22"/>
      <c r="D22" s="22"/>
      <c r="E22" s="22"/>
      <c r="F22" s="25" t="s">
        <v>0</v>
      </c>
      <c r="G22" s="25">
        <v>0.25</v>
      </c>
      <c r="H22" s="25"/>
      <c r="I22" s="28"/>
      <c r="J22" s="28"/>
    </row>
    <row r="23" spans="1:20" ht="16.2" thickBot="1" x14ac:dyDescent="0.35">
      <c r="A23" s="22"/>
      <c r="B23" s="22"/>
      <c r="C23" s="22"/>
      <c r="D23" s="22"/>
      <c r="E23" s="22"/>
      <c r="F23" s="30" t="s">
        <v>41</v>
      </c>
      <c r="G23" s="44">
        <f>G21/G22</f>
        <v>0.99</v>
      </c>
      <c r="H23" s="44"/>
      <c r="I23" s="43"/>
      <c r="J23" s="28"/>
    </row>
    <row r="24" spans="1:20" x14ac:dyDescent="0.3">
      <c r="E24" s="3"/>
      <c r="F24" s="3"/>
      <c r="I24" s="28"/>
      <c r="J24" s="28"/>
    </row>
    <row r="25" spans="1:20" x14ac:dyDescent="0.3">
      <c r="T25" s="3"/>
    </row>
    <row r="26" spans="1:20" x14ac:dyDescent="0.3">
      <c r="T26" s="3"/>
    </row>
    <row r="27" spans="1:20" x14ac:dyDescent="0.3">
      <c r="T27" s="3"/>
    </row>
    <row r="28" spans="1:20" ht="15.6" customHeight="1" x14ac:dyDescent="0.3">
      <c r="H28" s="181" t="s">
        <v>105</v>
      </c>
      <c r="I28" s="182" t="s">
        <v>103</v>
      </c>
      <c r="T28" s="3"/>
    </row>
    <row r="29" spans="1:20" ht="15.6" customHeight="1" x14ac:dyDescent="0.3">
      <c r="H29" s="181"/>
      <c r="I29" s="183"/>
      <c r="T29" s="3"/>
    </row>
    <row r="30" spans="1:20" ht="15.6" customHeight="1" x14ac:dyDescent="0.3">
      <c r="H30" s="181"/>
      <c r="I30" s="183"/>
      <c r="T30" s="3"/>
    </row>
    <row r="31" spans="1:20" ht="15.6" customHeight="1" x14ac:dyDescent="0.3">
      <c r="H31" s="181"/>
      <c r="I31" s="184"/>
      <c r="T31" s="3"/>
    </row>
    <row r="32" spans="1:20" x14ac:dyDescent="0.3">
      <c r="T32" s="3"/>
    </row>
    <row r="33" spans="20:20" x14ac:dyDescent="0.3">
      <c r="T33" s="3"/>
    </row>
    <row r="34" spans="20:20" x14ac:dyDescent="0.3">
      <c r="T34" s="3"/>
    </row>
    <row r="35" spans="20:20" x14ac:dyDescent="0.3">
      <c r="T35" s="3"/>
    </row>
    <row r="36" spans="20:20" x14ac:dyDescent="0.3">
      <c r="T36" s="3"/>
    </row>
    <row r="37" spans="20:20" x14ac:dyDescent="0.3">
      <c r="T37" s="3"/>
    </row>
    <row r="38" spans="20:20" x14ac:dyDescent="0.3">
      <c r="T38" s="3"/>
    </row>
    <row r="39" spans="20:20" x14ac:dyDescent="0.3">
      <c r="T39" s="3"/>
    </row>
    <row r="40" spans="20:20" x14ac:dyDescent="0.3">
      <c r="T40" s="3"/>
    </row>
    <row r="41" spans="20:20" x14ac:dyDescent="0.3">
      <c r="T41" s="3"/>
    </row>
    <row r="42" spans="20:20" x14ac:dyDescent="0.3">
      <c r="T42" s="3"/>
    </row>
    <row r="43" spans="20:20" x14ac:dyDescent="0.3">
      <c r="T43" s="3"/>
    </row>
    <row r="44" spans="20:20" x14ac:dyDescent="0.3">
      <c r="T44" s="3"/>
    </row>
    <row r="45" spans="20:20" x14ac:dyDescent="0.3">
      <c r="T45" s="3"/>
    </row>
    <row r="46" spans="20:20" x14ac:dyDescent="0.3">
      <c r="T46" s="3"/>
    </row>
    <row r="47" spans="20:20" x14ac:dyDescent="0.3">
      <c r="T47" s="3"/>
    </row>
    <row r="48" spans="20:20" x14ac:dyDescent="0.3">
      <c r="T48" s="3"/>
    </row>
    <row r="49" spans="20:20" x14ac:dyDescent="0.3">
      <c r="T49" s="3"/>
    </row>
    <row r="50" spans="20:20" x14ac:dyDescent="0.3">
      <c r="T50" s="3"/>
    </row>
    <row r="51" spans="20:20" x14ac:dyDescent="0.3">
      <c r="T51" s="3"/>
    </row>
    <row r="52" spans="20:20" x14ac:dyDescent="0.3">
      <c r="T52" s="3"/>
    </row>
    <row r="53" spans="20:20" x14ac:dyDescent="0.3">
      <c r="T53" s="3"/>
    </row>
    <row r="54" spans="20:20" x14ac:dyDescent="0.3">
      <c r="T54" s="3"/>
    </row>
    <row r="55" spans="20:20" x14ac:dyDescent="0.3">
      <c r="T55" s="3"/>
    </row>
    <row r="56" spans="20:20" x14ac:dyDescent="0.3">
      <c r="T56" s="3"/>
    </row>
    <row r="57" spans="20:20" x14ac:dyDescent="0.3">
      <c r="T57" s="3"/>
    </row>
    <row r="58" spans="20:20" x14ac:dyDescent="0.3">
      <c r="T58" s="3"/>
    </row>
    <row r="59" spans="20:20" x14ac:dyDescent="0.3">
      <c r="T59" s="3"/>
    </row>
    <row r="60" spans="20:20" x14ac:dyDescent="0.3">
      <c r="T60" s="3"/>
    </row>
    <row r="61" spans="20:20" x14ac:dyDescent="0.3">
      <c r="T61" s="3"/>
    </row>
    <row r="62" spans="20:20" x14ac:dyDescent="0.3">
      <c r="T62" s="3"/>
    </row>
    <row r="63" spans="20:20" x14ac:dyDescent="0.3">
      <c r="T63" s="3"/>
    </row>
    <row r="64" spans="20:20" x14ac:dyDescent="0.3">
      <c r="T64" s="3"/>
    </row>
    <row r="65" spans="13:22" x14ac:dyDescent="0.3">
      <c r="T65" s="3"/>
    </row>
    <row r="66" spans="13:22" x14ac:dyDescent="0.3">
      <c r="T66" s="3"/>
    </row>
    <row r="67" spans="13:22" x14ac:dyDescent="0.3">
      <c r="T67" s="3"/>
    </row>
    <row r="68" spans="13:22" x14ac:dyDescent="0.3">
      <c r="T68" s="3"/>
    </row>
    <row r="69" spans="13:22" x14ac:dyDescent="0.3">
      <c r="T69" s="3"/>
    </row>
    <row r="70" spans="13:22" x14ac:dyDescent="0.3">
      <c r="T70" s="3"/>
    </row>
    <row r="71" spans="13:22" x14ac:dyDescent="0.3">
      <c r="T71" s="3"/>
    </row>
    <row r="72" spans="13:22" x14ac:dyDescent="0.3">
      <c r="M72" s="22"/>
      <c r="N72" s="22"/>
      <c r="O72" s="22"/>
      <c r="P72" s="22"/>
      <c r="Q72" s="22"/>
      <c r="R72" s="22"/>
      <c r="S72" s="22"/>
      <c r="T72" s="22"/>
      <c r="U72" s="22"/>
      <c r="V72" s="22"/>
    </row>
  </sheetData>
  <mergeCells count="2">
    <mergeCell ref="H28:H31"/>
    <mergeCell ref="I28:I31"/>
  </mergeCells>
  <pageMargins left="0.7" right="0.7" top="0.75" bottom="0.75" header="0.3" footer="0.3"/>
  <pageSetup orientation="portrait" horizontalDpi="1200" verticalDpi="1200" r:id="rId1"/>
  <drawing r:id="rId2"/>
  <tableParts count="2"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6"/>
  <sheetViews>
    <sheetView showGridLines="0" zoomScale="60" zoomScaleNormal="60" workbookViewId="0">
      <selection activeCell="F8" sqref="F8"/>
    </sheetView>
  </sheetViews>
  <sheetFormatPr baseColWidth="10" defaultRowHeight="15.6" x14ac:dyDescent="0.3"/>
  <cols>
    <col min="1" max="1" width="18.59765625" customWidth="1"/>
    <col min="2" max="2" width="7.59765625" customWidth="1"/>
    <col min="3" max="3" width="15.69921875" customWidth="1"/>
    <col min="4" max="4" width="12.69921875" customWidth="1"/>
    <col min="5" max="5" width="14.19921875" customWidth="1"/>
    <col min="6" max="6" width="15.8984375" customWidth="1"/>
    <col min="7" max="7" width="14.8984375" customWidth="1"/>
    <col min="8" max="8" width="15.09765625" customWidth="1"/>
    <col min="9" max="10" width="14.8984375" customWidth="1"/>
    <col min="11" max="11" width="19.3984375" customWidth="1"/>
    <col min="12" max="12" width="15.59765625" customWidth="1"/>
    <col min="13" max="13" width="13.3984375" customWidth="1"/>
    <col min="14" max="14" width="6.19921875" customWidth="1"/>
    <col min="15" max="15" width="16.59765625" bestFit="1" customWidth="1"/>
    <col min="16" max="16" width="11.19921875" customWidth="1"/>
    <col min="17" max="17" width="17.09765625" bestFit="1" customWidth="1"/>
    <col min="18" max="18" width="15.19921875" bestFit="1" customWidth="1"/>
    <col min="19" max="19" width="16.3984375" customWidth="1"/>
    <col min="20" max="20" width="19.19921875" customWidth="1"/>
    <col min="21" max="21" width="16.09765625" customWidth="1"/>
    <col min="22" max="22" width="18.8984375" bestFit="1" customWidth="1"/>
    <col min="23" max="23" width="16.09765625" customWidth="1"/>
    <col min="24" max="24" width="14.19921875" customWidth="1"/>
    <col min="25" max="25" width="11" customWidth="1"/>
    <col min="26" max="26" width="23.8984375" bestFit="1" customWidth="1"/>
    <col min="27" max="27" width="12.59765625" bestFit="1" customWidth="1"/>
    <col min="28" max="28" width="17.19921875" customWidth="1"/>
    <col min="29" max="29" width="17.8984375" customWidth="1"/>
    <col min="30" max="30" width="17.5" customWidth="1"/>
    <col min="31" max="31" width="18.19921875" bestFit="1" customWidth="1"/>
    <col min="32" max="32" width="12.8984375" bestFit="1" customWidth="1"/>
    <col min="33" max="33" width="12.19921875" bestFit="1" customWidth="1"/>
  </cols>
  <sheetData>
    <row r="1" spans="1:29" x14ac:dyDescent="0.3">
      <c r="C1" s="31" t="s">
        <v>0</v>
      </c>
      <c r="D1" s="32">
        <v>0.33333333333333331</v>
      </c>
      <c r="E1" s="32">
        <v>0.35416666666666669</v>
      </c>
      <c r="F1" s="32">
        <v>0.375</v>
      </c>
      <c r="G1" s="32">
        <v>0.59375</v>
      </c>
      <c r="H1" s="32">
        <v>0.61458333333333337</v>
      </c>
      <c r="I1" s="32">
        <v>0.63541666666666663</v>
      </c>
      <c r="J1" s="32">
        <v>0.66666666666666663</v>
      </c>
    </row>
    <row r="2" spans="1:29" ht="46.8" x14ac:dyDescent="0.3">
      <c r="A2" s="13" t="s">
        <v>13</v>
      </c>
      <c r="B2" s="27" t="s">
        <v>39</v>
      </c>
      <c r="C2" s="14" t="s">
        <v>9</v>
      </c>
      <c r="D2" s="15" t="s">
        <v>1</v>
      </c>
      <c r="E2" s="15" t="s">
        <v>20</v>
      </c>
      <c r="F2" s="16" t="s">
        <v>42</v>
      </c>
      <c r="G2" s="16" t="s">
        <v>43</v>
      </c>
      <c r="H2" s="16" t="s">
        <v>21</v>
      </c>
      <c r="I2" s="17" t="s">
        <v>44</v>
      </c>
      <c r="J2" s="16" t="s">
        <v>45</v>
      </c>
      <c r="K2" s="35" t="s">
        <v>36</v>
      </c>
      <c r="M2" s="1" t="s">
        <v>11</v>
      </c>
      <c r="N2" s="1" t="s">
        <v>14</v>
      </c>
      <c r="O2" s="1" t="s">
        <v>12</v>
      </c>
      <c r="P2" s="8" t="s">
        <v>10</v>
      </c>
      <c r="Q2" s="6" t="s">
        <v>35</v>
      </c>
      <c r="R2" s="9" t="s">
        <v>34</v>
      </c>
      <c r="S2" s="6" t="s">
        <v>23</v>
      </c>
      <c r="T2" s="16" t="s">
        <v>53</v>
      </c>
      <c r="U2" s="6" t="s">
        <v>19</v>
      </c>
      <c r="V2" s="21" t="s">
        <v>22</v>
      </c>
      <c r="W2" s="19" t="s">
        <v>30</v>
      </c>
      <c r="X2" s="20" t="s">
        <v>31</v>
      </c>
      <c r="Y2" s="20" t="s">
        <v>32</v>
      </c>
      <c r="Z2" s="20" t="s">
        <v>33</v>
      </c>
      <c r="AA2" s="19" t="s">
        <v>46</v>
      </c>
      <c r="AB2" s="19" t="s">
        <v>47</v>
      </c>
      <c r="AC2" s="19" t="s">
        <v>48</v>
      </c>
    </row>
    <row r="3" spans="1:29" x14ac:dyDescent="0.3">
      <c r="A3" s="12" t="s">
        <v>97</v>
      </c>
      <c r="B3" s="12" t="s">
        <v>37</v>
      </c>
      <c r="C3" s="4">
        <f>+Tabla5[[#This Row],[FECHA]]</f>
        <v>44907</v>
      </c>
      <c r="D3" s="37">
        <v>0.67361111111111116</v>
      </c>
      <c r="E3" s="37">
        <v>0.6875</v>
      </c>
      <c r="F3" s="37">
        <v>0.71736111111111101</v>
      </c>
      <c r="G3" s="37">
        <v>0.95138888888888884</v>
      </c>
      <c r="H3" s="37">
        <v>0.95833333333333337</v>
      </c>
      <c r="I3" s="37">
        <v>0.97916666666666663</v>
      </c>
      <c r="J3" s="46">
        <v>0.99305555555555547</v>
      </c>
      <c r="K3" s="47"/>
      <c r="L3" s="53"/>
      <c r="M3" s="53"/>
      <c r="N3" s="57" t="s">
        <v>15</v>
      </c>
      <c r="O3" s="4">
        <f>Tabla537[[#This Row],[FECHA]]</f>
        <v>44907</v>
      </c>
      <c r="P3" s="7">
        <f>D3</f>
        <v>0.67361111111111116</v>
      </c>
      <c r="Q3" s="7">
        <f>E3-D3</f>
        <v>1.388888888888884E-2</v>
      </c>
      <c r="R3" s="7">
        <f>F3-E3</f>
        <v>2.9861111111111005E-2</v>
      </c>
      <c r="S3" s="7">
        <f>G3-F3</f>
        <v>0.23402777777777783</v>
      </c>
      <c r="T3" s="7">
        <f>+Tabla537[[#This Row],[ALMUERZO]]-Tabla537[[#This Row],[TERMINO ACT. AM]]</f>
        <v>6.9444444444445308E-3</v>
      </c>
      <c r="U3" s="7">
        <f>+Tabla537[[#This Row],[INICIO ACTIVIDADES PM]]-Tabla537[[#This Row],[ALMUERZO]]</f>
        <v>2.0833333333333259E-2</v>
      </c>
      <c r="V3" s="7">
        <f>+Tabla537[[#This Row],[TERMINO ACTIVIDADES PM]]-Tabla537[[#This Row],[INICIO ACTIVIDADES PM]]</f>
        <v>1.388888888888884E-2</v>
      </c>
      <c r="W3" s="3">
        <f>+$D$1</f>
        <v>0.33333333333333331</v>
      </c>
      <c r="X3" s="3">
        <f>+$E$1</f>
        <v>0.35416666666666669</v>
      </c>
      <c r="Y3" s="3">
        <f>+$F$1</f>
        <v>0.375</v>
      </c>
      <c r="Z3" s="3">
        <f>+$G$1</f>
        <v>0.59375</v>
      </c>
      <c r="AA3" s="3">
        <f>+$H$1</f>
        <v>0.61458333333333337</v>
      </c>
      <c r="AB3" s="3">
        <f>+$I$1</f>
        <v>0.63541666666666663</v>
      </c>
      <c r="AC3" s="3">
        <f>+$J$1</f>
        <v>0.66666666666666663</v>
      </c>
    </row>
    <row r="4" spans="1:29" x14ac:dyDescent="0.3">
      <c r="A4" s="12" t="s">
        <v>97</v>
      </c>
      <c r="B4" s="12" t="s">
        <v>26</v>
      </c>
      <c r="C4" s="4">
        <f>+Tabla5[[#This Row],[FECHA]]</f>
        <v>44908</v>
      </c>
      <c r="D4" s="37">
        <v>0.67361111111111116</v>
      </c>
      <c r="E4" s="37">
        <v>0.68402777777777779</v>
      </c>
      <c r="F4" s="37">
        <v>0.71527777777777779</v>
      </c>
      <c r="G4" s="37">
        <v>0.95486111111111116</v>
      </c>
      <c r="H4" s="37">
        <v>0.96180555555555547</v>
      </c>
      <c r="I4" s="37">
        <v>0.98263888888888884</v>
      </c>
      <c r="J4" s="46">
        <v>0.99305555555555547</v>
      </c>
      <c r="K4" s="47"/>
      <c r="M4" s="5"/>
      <c r="N4" s="5" t="s">
        <v>16</v>
      </c>
      <c r="O4" s="4">
        <f>Tabla537[[#This Row],[FECHA]]</f>
        <v>44908</v>
      </c>
      <c r="P4" s="7">
        <f>D4</f>
        <v>0.67361111111111116</v>
      </c>
      <c r="Q4" s="7">
        <f t="shared" ref="Q4:S7" si="0">E4-D4</f>
        <v>1.041666666666663E-2</v>
      </c>
      <c r="R4" s="7">
        <f t="shared" si="0"/>
        <v>3.125E-2</v>
      </c>
      <c r="S4" s="7">
        <f t="shared" si="0"/>
        <v>0.23958333333333337</v>
      </c>
      <c r="T4" s="7">
        <f>+Tabla537[[#This Row],[ALMUERZO]]-Tabla537[[#This Row],[TERMINO ACT. AM]]</f>
        <v>6.9444444444443088E-3</v>
      </c>
      <c r="U4" s="7">
        <f>+Tabla537[[#This Row],[INICIO ACTIVIDADES PM]]-Tabla537[[#This Row],[ALMUERZO]]</f>
        <v>2.083333333333337E-2</v>
      </c>
      <c r="V4" s="7">
        <f>+Tabla537[[#This Row],[TERMINO ACTIVIDADES PM]]-Tabla537[[#This Row],[INICIO ACTIVIDADES PM]]</f>
        <v>1.041666666666663E-2</v>
      </c>
      <c r="W4" s="3">
        <f t="shared" ref="W4:W7" si="1">+$D$1</f>
        <v>0.33333333333333331</v>
      </c>
      <c r="X4" s="3">
        <f t="shared" ref="X4:X7" si="2">+$E$1</f>
        <v>0.35416666666666669</v>
      </c>
      <c r="Y4" s="3">
        <f t="shared" ref="Y4:Y7" si="3">+$F$1</f>
        <v>0.375</v>
      </c>
      <c r="Z4" s="3">
        <f t="shared" ref="Z4:Z7" si="4">+$G$1</f>
        <v>0.59375</v>
      </c>
      <c r="AA4" s="3">
        <f t="shared" ref="AA4:AA7" si="5">+$H$1</f>
        <v>0.61458333333333337</v>
      </c>
      <c r="AB4" s="3">
        <f t="shared" ref="AB4:AB7" si="6">+$I$1</f>
        <v>0.63541666666666663</v>
      </c>
      <c r="AC4" s="3">
        <f t="shared" ref="AC4:AC7" si="7">+$J$1</f>
        <v>0.66666666666666663</v>
      </c>
    </row>
    <row r="5" spans="1:29" x14ac:dyDescent="0.3">
      <c r="A5" s="12" t="s">
        <v>97</v>
      </c>
      <c r="B5" s="12" t="s">
        <v>27</v>
      </c>
      <c r="C5" s="4">
        <f>+Tabla5[[#This Row],[FECHA]]</f>
        <v>44909</v>
      </c>
      <c r="D5" s="37">
        <v>0.67361111111111116</v>
      </c>
      <c r="E5" s="37">
        <v>0.68055555555555547</v>
      </c>
      <c r="F5" s="37">
        <v>0.71666666666666667</v>
      </c>
      <c r="G5" s="37">
        <v>0.94444444444444453</v>
      </c>
      <c r="H5" s="37">
        <v>0.95138888888888884</v>
      </c>
      <c r="I5" s="37">
        <v>0.97916666666666663</v>
      </c>
      <c r="J5" s="46">
        <v>0.99305555555555547</v>
      </c>
      <c r="K5" s="47"/>
      <c r="M5" s="5"/>
      <c r="N5" s="5" t="s">
        <v>16</v>
      </c>
      <c r="O5" s="4">
        <f>Tabla537[[#This Row],[FECHA]]</f>
        <v>44909</v>
      </c>
      <c r="P5" s="7">
        <f>D5</f>
        <v>0.67361111111111116</v>
      </c>
      <c r="Q5" s="7">
        <f t="shared" si="0"/>
        <v>6.9444444444443088E-3</v>
      </c>
      <c r="R5" s="7">
        <f t="shared" si="0"/>
        <v>3.6111111111111205E-2</v>
      </c>
      <c r="S5" s="7">
        <f t="shared" si="0"/>
        <v>0.22777777777777786</v>
      </c>
      <c r="T5" s="7">
        <f>+Tabla537[[#This Row],[ALMUERZO]]-Tabla537[[#This Row],[TERMINO ACT. AM]]</f>
        <v>6.9444444444443088E-3</v>
      </c>
      <c r="U5" s="7">
        <f>+Tabla537[[#This Row],[INICIO ACTIVIDADES PM]]-Tabla537[[#This Row],[ALMUERZO]]</f>
        <v>2.777777777777779E-2</v>
      </c>
      <c r="V5" s="7">
        <f>+Tabla537[[#This Row],[TERMINO ACTIVIDADES PM]]-Tabla537[[#This Row],[INICIO ACTIVIDADES PM]]</f>
        <v>1.388888888888884E-2</v>
      </c>
      <c r="W5" s="3">
        <f t="shared" si="1"/>
        <v>0.33333333333333331</v>
      </c>
      <c r="X5" s="3">
        <f t="shared" si="2"/>
        <v>0.35416666666666669</v>
      </c>
      <c r="Y5" s="3">
        <f t="shared" si="3"/>
        <v>0.375</v>
      </c>
      <c r="Z5" s="3">
        <f t="shared" si="4"/>
        <v>0.59375</v>
      </c>
      <c r="AA5" s="3">
        <f t="shared" si="5"/>
        <v>0.61458333333333337</v>
      </c>
      <c r="AB5" s="3">
        <f t="shared" si="6"/>
        <v>0.63541666666666663</v>
      </c>
      <c r="AC5" s="3">
        <f t="shared" si="7"/>
        <v>0.66666666666666663</v>
      </c>
    </row>
    <row r="6" spans="1:29" x14ac:dyDescent="0.3">
      <c r="A6" s="12" t="s">
        <v>97</v>
      </c>
      <c r="B6" s="12" t="s">
        <v>28</v>
      </c>
      <c r="C6" s="4">
        <f>+Tabla5[[#This Row],[FECHA]]</f>
        <v>44910</v>
      </c>
      <c r="D6" s="37">
        <v>0.67361111111111116</v>
      </c>
      <c r="E6" s="37">
        <v>0.68402777777777779</v>
      </c>
      <c r="F6" s="37">
        <v>0.71597222222222223</v>
      </c>
      <c r="G6" s="37">
        <v>0.92708333333333337</v>
      </c>
      <c r="H6" s="37">
        <v>0.93402777777777779</v>
      </c>
      <c r="I6" s="37">
        <v>0.95833333333333337</v>
      </c>
      <c r="J6" s="46">
        <v>0.99305555555555547</v>
      </c>
      <c r="K6" s="47"/>
      <c r="M6" s="5"/>
      <c r="N6" s="5" t="s">
        <v>17</v>
      </c>
      <c r="O6" s="4">
        <f>Tabla537[[#This Row],[FECHA]]</f>
        <v>44910</v>
      </c>
      <c r="P6" s="7">
        <f>D6</f>
        <v>0.67361111111111116</v>
      </c>
      <c r="Q6" s="7">
        <f t="shared" si="0"/>
        <v>1.041666666666663E-2</v>
      </c>
      <c r="R6" s="7">
        <f t="shared" si="0"/>
        <v>3.1944444444444442E-2</v>
      </c>
      <c r="S6" s="7">
        <f t="shared" si="0"/>
        <v>0.21111111111111114</v>
      </c>
      <c r="T6" s="7">
        <f>+Tabla537[[#This Row],[ALMUERZO]]-Tabla537[[#This Row],[TERMINO ACT. AM]]</f>
        <v>6.9444444444444198E-3</v>
      </c>
      <c r="U6" s="7">
        <f>+Tabla537[[#This Row],[INICIO ACTIVIDADES PM]]-Tabla537[[#This Row],[ALMUERZO]]</f>
        <v>2.430555555555558E-2</v>
      </c>
      <c r="V6" s="7">
        <f>+Tabla537[[#This Row],[TERMINO ACTIVIDADES PM]]-Tabla537[[#This Row],[INICIO ACTIVIDADES PM]]</f>
        <v>3.4722222222222099E-2</v>
      </c>
      <c r="W6" s="3">
        <f t="shared" si="1"/>
        <v>0.33333333333333331</v>
      </c>
      <c r="X6" s="3">
        <f t="shared" si="2"/>
        <v>0.35416666666666669</v>
      </c>
      <c r="Y6" s="3">
        <f t="shared" si="3"/>
        <v>0.375</v>
      </c>
      <c r="Z6" s="3">
        <f t="shared" si="4"/>
        <v>0.59375</v>
      </c>
      <c r="AA6" s="3">
        <f t="shared" si="5"/>
        <v>0.61458333333333337</v>
      </c>
      <c r="AB6" s="3">
        <f t="shared" si="6"/>
        <v>0.63541666666666663</v>
      </c>
      <c r="AC6" s="3">
        <f t="shared" si="7"/>
        <v>0.66666666666666663</v>
      </c>
    </row>
    <row r="7" spans="1:29" x14ac:dyDescent="0.3">
      <c r="A7" s="12" t="s">
        <v>97</v>
      </c>
      <c r="B7" s="12" t="s">
        <v>38</v>
      </c>
      <c r="C7" s="4">
        <f>+Tabla5[[#This Row],[FECHA]]</f>
        <v>44911</v>
      </c>
      <c r="D7" s="37">
        <v>0.67361111111111116</v>
      </c>
      <c r="E7" s="37">
        <v>0.69097222222222221</v>
      </c>
      <c r="F7" s="37">
        <v>0.71388888888888891</v>
      </c>
      <c r="G7" s="37">
        <v>0.92013888888888884</v>
      </c>
      <c r="H7" s="37">
        <v>0.92361111111111116</v>
      </c>
      <c r="I7" s="37">
        <v>0.94791666666666663</v>
      </c>
      <c r="J7" s="46">
        <v>0.99305555555555547</v>
      </c>
      <c r="K7" s="47"/>
      <c r="M7" s="5"/>
      <c r="N7" s="5" t="s">
        <v>18</v>
      </c>
      <c r="O7" s="4">
        <f>Tabla537[[#This Row],[FECHA]]</f>
        <v>44911</v>
      </c>
      <c r="P7" s="7">
        <f>D7</f>
        <v>0.67361111111111116</v>
      </c>
      <c r="Q7" s="7">
        <f t="shared" si="0"/>
        <v>1.7361111111111049E-2</v>
      </c>
      <c r="R7" s="7">
        <f t="shared" si="0"/>
        <v>2.2916666666666696E-2</v>
      </c>
      <c r="S7" s="7">
        <f t="shared" si="0"/>
        <v>0.20624999999999993</v>
      </c>
      <c r="T7" s="7">
        <f>+Tabla537[[#This Row],[ALMUERZO]]-Tabla537[[#This Row],[TERMINO ACT. AM]]</f>
        <v>3.4722222222223209E-3</v>
      </c>
      <c r="U7" s="7">
        <f>+Tabla537[[#This Row],[INICIO ACTIVIDADES PM]]-Tabla537[[#This Row],[ALMUERZO]]</f>
        <v>2.4305555555555469E-2</v>
      </c>
      <c r="V7" s="7">
        <f>+Tabla537[[#This Row],[TERMINO ACTIVIDADES PM]]-Tabla537[[#This Row],[INICIO ACTIVIDADES PM]]</f>
        <v>4.513888888888884E-2</v>
      </c>
      <c r="W7" s="3">
        <f t="shared" si="1"/>
        <v>0.33333333333333331</v>
      </c>
      <c r="X7" s="3">
        <f t="shared" si="2"/>
        <v>0.35416666666666669</v>
      </c>
      <c r="Y7" s="3">
        <f t="shared" si="3"/>
        <v>0.375</v>
      </c>
      <c r="Z7" s="3">
        <f t="shared" si="4"/>
        <v>0.59375</v>
      </c>
      <c r="AA7" s="3">
        <f t="shared" si="5"/>
        <v>0.61458333333333337</v>
      </c>
      <c r="AB7" s="3">
        <f t="shared" si="6"/>
        <v>0.63541666666666663</v>
      </c>
      <c r="AC7" s="3">
        <f t="shared" si="7"/>
        <v>0.66666666666666663</v>
      </c>
    </row>
    <row r="8" spans="1:29" x14ac:dyDescent="0.3">
      <c r="A8" s="11"/>
      <c r="B8" s="11"/>
      <c r="C8" s="11"/>
      <c r="D8" s="11"/>
      <c r="E8" s="11"/>
      <c r="F8" s="11"/>
      <c r="G8" s="11"/>
      <c r="H8" s="11"/>
      <c r="I8" s="56"/>
      <c r="J8" s="56"/>
      <c r="K8" s="38"/>
      <c r="M8" s="5"/>
      <c r="N8" s="5"/>
      <c r="O8" s="4"/>
      <c r="P8" s="7"/>
      <c r="Q8" s="7"/>
      <c r="R8" s="7"/>
      <c r="S8" s="7"/>
      <c r="T8" s="7"/>
      <c r="U8" s="7"/>
      <c r="V8" s="7"/>
      <c r="W8" s="3"/>
      <c r="X8" s="3"/>
      <c r="Y8" s="3"/>
      <c r="Z8" s="3"/>
      <c r="AA8" s="3"/>
      <c r="AB8" s="3"/>
      <c r="AC8" s="3"/>
    </row>
    <row r="9" spans="1:29" x14ac:dyDescent="0.3">
      <c r="A9" s="11"/>
      <c r="B9" s="11"/>
      <c r="C9" s="11"/>
      <c r="D9" s="37"/>
      <c r="E9" s="37"/>
      <c r="F9" s="37"/>
      <c r="G9" s="37"/>
      <c r="H9" s="37"/>
      <c r="I9" s="37"/>
      <c r="J9" s="46"/>
      <c r="K9" s="38"/>
      <c r="M9" s="5">
        <f>Tabla537[[#This Row],[Columna1]]</f>
        <v>0</v>
      </c>
      <c r="N9" s="5"/>
      <c r="O9" s="4"/>
      <c r="P9" s="7"/>
      <c r="Q9" s="7"/>
      <c r="R9" s="7"/>
      <c r="S9" s="7"/>
      <c r="T9" s="7"/>
      <c r="U9" s="7"/>
      <c r="V9" s="7"/>
      <c r="W9" s="3"/>
      <c r="X9" s="3"/>
      <c r="Y9" s="3"/>
      <c r="Z9" s="3"/>
      <c r="AA9" s="3"/>
      <c r="AB9" s="3"/>
      <c r="AC9" s="3"/>
    </row>
    <row r="10" spans="1:29" x14ac:dyDescent="0.3">
      <c r="A10" s="40"/>
      <c r="B10" s="40"/>
      <c r="C10" s="40"/>
      <c r="D10" s="37"/>
      <c r="E10" s="37"/>
      <c r="F10" s="37"/>
      <c r="G10" s="37"/>
      <c r="H10" s="37"/>
      <c r="I10" s="37"/>
      <c r="J10" s="46"/>
      <c r="K10" s="38"/>
      <c r="M10" s="18"/>
      <c r="N10" s="5"/>
      <c r="O10" s="4"/>
      <c r="Y10" s="3"/>
      <c r="Z10" s="3"/>
      <c r="AA10" s="3"/>
      <c r="AB10" s="3"/>
      <c r="AC10" s="3"/>
    </row>
    <row r="11" spans="1:29" x14ac:dyDescent="0.3">
      <c r="A11" s="40"/>
      <c r="B11" s="40"/>
      <c r="C11" s="40"/>
      <c r="D11" s="37"/>
      <c r="E11" s="37"/>
      <c r="F11" s="37"/>
      <c r="G11" s="37"/>
      <c r="H11" s="37"/>
      <c r="I11" s="37"/>
      <c r="J11" s="46"/>
      <c r="K11" s="38"/>
      <c r="M11" s="5"/>
      <c r="N11" s="5"/>
      <c r="O11" s="4"/>
      <c r="Y11" s="3"/>
      <c r="Z11" s="3"/>
      <c r="AA11" s="3"/>
      <c r="AB11" s="3"/>
      <c r="AC11" s="3"/>
    </row>
    <row r="12" spans="1:29" x14ac:dyDescent="0.3">
      <c r="A12" s="11"/>
      <c r="B12" s="11"/>
      <c r="C12" s="11"/>
      <c r="D12" s="37"/>
      <c r="E12" s="37"/>
      <c r="F12" s="37"/>
      <c r="G12" s="37"/>
      <c r="H12" s="37"/>
      <c r="I12" s="37"/>
      <c r="J12" s="46"/>
      <c r="K12" s="38"/>
      <c r="M12" s="5"/>
      <c r="N12" s="5"/>
      <c r="O12" s="4"/>
      <c r="Y12" s="3"/>
      <c r="Z12" s="3"/>
      <c r="AA12" s="3"/>
      <c r="AB12" s="3"/>
      <c r="AC12" s="3"/>
    </row>
    <row r="13" spans="1:29" ht="16.2" thickBot="1" x14ac:dyDescent="0.35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56"/>
      <c r="M13" s="5"/>
      <c r="N13" s="5"/>
      <c r="O13" s="4"/>
      <c r="Y13" s="3"/>
      <c r="Z13" s="3"/>
      <c r="AA13" s="3"/>
      <c r="AB13" s="3"/>
      <c r="AC13" s="3"/>
    </row>
    <row r="14" spans="1:29" ht="16.2" thickBot="1" x14ac:dyDescent="0.35">
      <c r="A14" s="22"/>
      <c r="B14" s="22"/>
      <c r="C14" s="22"/>
      <c r="D14" s="22"/>
      <c r="E14" s="22"/>
      <c r="F14" s="23"/>
      <c r="G14" s="24" t="s">
        <v>24</v>
      </c>
      <c r="H14" s="24"/>
      <c r="I14" s="28"/>
      <c r="J14" s="28"/>
      <c r="K14" s="56"/>
      <c r="M14" s="5"/>
      <c r="N14" s="5"/>
      <c r="O14" s="4"/>
      <c r="Y14" s="3"/>
      <c r="Z14" s="3"/>
      <c r="AA14" s="3"/>
      <c r="AB14" s="3"/>
      <c r="AC14" s="3"/>
    </row>
    <row r="15" spans="1:29" ht="16.2" thickBot="1" x14ac:dyDescent="0.35">
      <c r="A15" s="22"/>
      <c r="B15" s="22"/>
      <c r="C15" s="22"/>
      <c r="D15" s="22"/>
      <c r="E15" s="22"/>
      <c r="F15" s="26" t="s">
        <v>102</v>
      </c>
      <c r="G15" s="26" t="s">
        <v>80</v>
      </c>
      <c r="H15" s="26"/>
      <c r="I15" s="28"/>
      <c r="J15" s="28"/>
      <c r="K15" s="56"/>
    </row>
    <row r="16" spans="1:29" ht="16.2" thickBot="1" x14ac:dyDescent="0.35">
      <c r="A16" s="22"/>
      <c r="B16" s="22"/>
      <c r="C16" s="22"/>
      <c r="D16" s="22"/>
      <c r="E16" s="22"/>
      <c r="F16" s="23" t="s">
        <v>25</v>
      </c>
      <c r="G16" s="23">
        <f>+(G3-F3)+(J3-I3)</f>
        <v>0.24791666666666667</v>
      </c>
      <c r="H16" s="23"/>
      <c r="I16" s="28"/>
      <c r="J16" s="28"/>
      <c r="K16" s="58"/>
    </row>
    <row r="17" spans="1:20" ht="16.2" thickBot="1" x14ac:dyDescent="0.35">
      <c r="A17" s="22"/>
      <c r="B17" s="22"/>
      <c r="C17" s="22"/>
      <c r="D17" s="22"/>
      <c r="E17" s="22"/>
      <c r="F17" s="23" t="s">
        <v>26</v>
      </c>
      <c r="G17" s="23">
        <f>+(G4-F4)+(J4-I4)</f>
        <v>0.25</v>
      </c>
      <c r="H17" s="23"/>
      <c r="I17" s="28"/>
      <c r="J17" s="28"/>
      <c r="K17" s="58"/>
    </row>
    <row r="18" spans="1:20" ht="16.2" thickBot="1" x14ac:dyDescent="0.35">
      <c r="A18" s="22"/>
      <c r="B18" s="22"/>
      <c r="C18" s="22"/>
      <c r="D18" s="22"/>
      <c r="E18" s="22"/>
      <c r="F18" s="23" t="s">
        <v>27</v>
      </c>
      <c r="G18" s="23">
        <f>+(G5-F5)+(J5-I5)</f>
        <v>0.2416666666666667</v>
      </c>
      <c r="H18" s="23"/>
      <c r="I18" s="28"/>
      <c r="J18" s="28"/>
      <c r="K18" s="58"/>
    </row>
    <row r="19" spans="1:20" ht="16.2" thickBot="1" x14ac:dyDescent="0.35">
      <c r="A19" s="22"/>
      <c r="B19" s="22"/>
      <c r="C19" s="22"/>
      <c r="D19" s="22"/>
      <c r="E19" s="22"/>
      <c r="F19" s="23" t="s">
        <v>28</v>
      </c>
      <c r="G19" s="23">
        <f>+(G6-F6)+(J6-I6)</f>
        <v>0.24583333333333324</v>
      </c>
      <c r="H19" s="23"/>
      <c r="I19" s="28"/>
      <c r="J19" s="28"/>
      <c r="K19" s="58"/>
    </row>
    <row r="20" spans="1:20" ht="16.2" thickBot="1" x14ac:dyDescent="0.35">
      <c r="A20" s="22"/>
      <c r="B20" s="22"/>
      <c r="C20" s="22"/>
      <c r="D20" s="22"/>
      <c r="E20" s="22"/>
      <c r="F20" s="23" t="s">
        <v>50</v>
      </c>
      <c r="G20" s="23">
        <f>+(G7-F7)+(J7-I7)</f>
        <v>0.25138888888888877</v>
      </c>
      <c r="H20" s="23"/>
      <c r="I20" s="28"/>
      <c r="J20" s="28"/>
      <c r="K20" s="58"/>
    </row>
    <row r="21" spans="1:20" ht="20.25" customHeight="1" thickBot="1" x14ac:dyDescent="0.35">
      <c r="A21" s="22"/>
      <c r="B21" s="22"/>
      <c r="C21" s="22"/>
      <c r="D21" s="22"/>
      <c r="E21" s="22"/>
      <c r="F21" s="30" t="s">
        <v>40</v>
      </c>
      <c r="G21" s="30">
        <f>+AVERAGEIF(G16:G20, "&lt;&gt; 0")</f>
        <v>0.24736111111111106</v>
      </c>
      <c r="H21" s="30"/>
      <c r="I21" s="28"/>
      <c r="J21" s="28"/>
      <c r="K21" s="58"/>
    </row>
    <row r="22" spans="1:20" ht="16.2" thickBot="1" x14ac:dyDescent="0.35">
      <c r="A22" s="22"/>
      <c r="B22" s="22"/>
      <c r="C22" s="22"/>
      <c r="D22" s="22"/>
      <c r="E22" s="22"/>
      <c r="F22" s="25" t="s">
        <v>0</v>
      </c>
      <c r="G22" s="25">
        <v>0.25</v>
      </c>
      <c r="H22" s="25"/>
      <c r="I22" s="28"/>
      <c r="J22" s="28"/>
    </row>
    <row r="23" spans="1:20" ht="16.2" thickBot="1" x14ac:dyDescent="0.35">
      <c r="A23" s="41"/>
      <c r="B23" s="41"/>
      <c r="C23" s="42"/>
      <c r="D23" s="43"/>
      <c r="E23" s="43"/>
      <c r="F23" s="30" t="s">
        <v>41</v>
      </c>
      <c r="G23" s="44">
        <f>G21/G22</f>
        <v>0.98944444444444424</v>
      </c>
      <c r="H23" s="44"/>
      <c r="I23" s="43"/>
      <c r="J23" s="28"/>
    </row>
    <row r="24" spans="1:20" x14ac:dyDescent="0.3">
      <c r="E24" s="3"/>
      <c r="F24" s="3"/>
      <c r="I24" s="28"/>
      <c r="J24" s="28"/>
    </row>
    <row r="25" spans="1:20" x14ac:dyDescent="0.3">
      <c r="T25" s="3"/>
    </row>
    <row r="26" spans="1:20" x14ac:dyDescent="0.3">
      <c r="T26" s="3"/>
    </row>
    <row r="27" spans="1:20" x14ac:dyDescent="0.3">
      <c r="T27" s="3"/>
    </row>
    <row r="28" spans="1:20" ht="15.6" customHeight="1" x14ac:dyDescent="0.3">
      <c r="H28" s="181" t="s">
        <v>105</v>
      </c>
      <c r="I28" s="182" t="s">
        <v>104</v>
      </c>
      <c r="T28" s="3"/>
    </row>
    <row r="29" spans="1:20" ht="15.6" customHeight="1" x14ac:dyDescent="0.3">
      <c r="H29" s="181"/>
      <c r="I29" s="183"/>
      <c r="T29" s="3"/>
    </row>
    <row r="30" spans="1:20" ht="15.6" customHeight="1" x14ac:dyDescent="0.3">
      <c r="H30" s="181"/>
      <c r="I30" s="183"/>
      <c r="T30" s="3"/>
    </row>
    <row r="31" spans="1:20" ht="15.6" customHeight="1" x14ac:dyDescent="0.3">
      <c r="H31" s="181"/>
      <c r="I31" s="184"/>
      <c r="T31" s="3"/>
    </row>
    <row r="32" spans="1:20" x14ac:dyDescent="0.3">
      <c r="T32" s="3"/>
    </row>
    <row r="33" spans="20:20" x14ac:dyDescent="0.3">
      <c r="T33" s="3"/>
    </row>
    <row r="34" spans="20:20" x14ac:dyDescent="0.3">
      <c r="T34" s="3"/>
    </row>
    <row r="35" spans="20:20" x14ac:dyDescent="0.3">
      <c r="T35" s="3"/>
    </row>
    <row r="36" spans="20:20" x14ac:dyDescent="0.3">
      <c r="T36" s="3"/>
    </row>
    <row r="37" spans="20:20" x14ac:dyDescent="0.3">
      <c r="T37" s="3"/>
    </row>
    <row r="38" spans="20:20" x14ac:dyDescent="0.3">
      <c r="T38" s="3"/>
    </row>
    <row r="39" spans="20:20" x14ac:dyDescent="0.3">
      <c r="T39" s="3"/>
    </row>
    <row r="40" spans="20:20" x14ac:dyDescent="0.3">
      <c r="T40" s="3"/>
    </row>
    <row r="41" spans="20:20" x14ac:dyDescent="0.3">
      <c r="T41" s="3"/>
    </row>
    <row r="42" spans="20:20" x14ac:dyDescent="0.3">
      <c r="T42" s="3"/>
    </row>
    <row r="43" spans="20:20" x14ac:dyDescent="0.3">
      <c r="T43" s="3"/>
    </row>
    <row r="44" spans="20:20" x14ac:dyDescent="0.3">
      <c r="T44" s="3"/>
    </row>
    <row r="45" spans="20:20" x14ac:dyDescent="0.3">
      <c r="T45" s="3"/>
    </row>
    <row r="46" spans="20:20" x14ac:dyDescent="0.3">
      <c r="T46" s="3"/>
    </row>
    <row r="47" spans="20:20" x14ac:dyDescent="0.3">
      <c r="T47" s="3"/>
    </row>
    <row r="48" spans="20:20" x14ac:dyDescent="0.3">
      <c r="T48" s="3"/>
    </row>
    <row r="49" spans="20:20" x14ac:dyDescent="0.3">
      <c r="T49" s="3"/>
    </row>
    <row r="50" spans="20:20" x14ac:dyDescent="0.3">
      <c r="T50" s="3"/>
    </row>
    <row r="51" spans="20:20" x14ac:dyDescent="0.3">
      <c r="T51" s="3"/>
    </row>
    <row r="52" spans="20:20" x14ac:dyDescent="0.3">
      <c r="T52" s="3"/>
    </row>
    <row r="53" spans="20:20" x14ac:dyDescent="0.3">
      <c r="T53" s="3"/>
    </row>
    <row r="54" spans="20:20" x14ac:dyDescent="0.3">
      <c r="T54" s="3"/>
    </row>
    <row r="55" spans="20:20" x14ac:dyDescent="0.3">
      <c r="T55" s="3"/>
    </row>
    <row r="56" spans="20:20" x14ac:dyDescent="0.3">
      <c r="T56" s="3"/>
    </row>
    <row r="57" spans="20:20" x14ac:dyDescent="0.3">
      <c r="T57" s="3"/>
    </row>
    <row r="58" spans="20:20" x14ac:dyDescent="0.3">
      <c r="T58" s="3"/>
    </row>
    <row r="59" spans="20:20" x14ac:dyDescent="0.3">
      <c r="T59" s="3"/>
    </row>
    <row r="60" spans="20:20" x14ac:dyDescent="0.3">
      <c r="T60" s="3"/>
    </row>
    <row r="61" spans="20:20" x14ac:dyDescent="0.3">
      <c r="T61" s="3"/>
    </row>
    <row r="62" spans="20:20" x14ac:dyDescent="0.3">
      <c r="T62" s="3"/>
    </row>
    <row r="63" spans="20:20" x14ac:dyDescent="0.3">
      <c r="T63" s="3"/>
    </row>
    <row r="64" spans="20:20" x14ac:dyDescent="0.3">
      <c r="T64" s="3"/>
    </row>
    <row r="65" spans="20:20" x14ac:dyDescent="0.3">
      <c r="T65" s="3"/>
    </row>
    <row r="66" spans="20:20" x14ac:dyDescent="0.3">
      <c r="T66" s="3"/>
    </row>
  </sheetData>
  <mergeCells count="2">
    <mergeCell ref="H28:H31"/>
    <mergeCell ref="I28:I31"/>
  </mergeCells>
  <pageMargins left="0.7" right="0.7" top="0.75" bottom="0.75" header="0.3" footer="0.3"/>
  <pageSetup orientation="portrait" horizontalDpi="1200" verticalDpi="1200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3"/>
  <sheetViews>
    <sheetView zoomScale="60" zoomScaleNormal="60" workbookViewId="0">
      <selection activeCell="F8" sqref="F8"/>
    </sheetView>
  </sheetViews>
  <sheetFormatPr baseColWidth="10" defaultRowHeight="15.6" x14ac:dyDescent="0.3"/>
  <cols>
    <col min="1" max="1" width="12" customWidth="1"/>
    <col min="2" max="2" width="12.19921875" customWidth="1"/>
    <col min="3" max="3" width="12.69921875" customWidth="1"/>
    <col min="4" max="4" width="11.3984375" customWidth="1"/>
    <col min="5" max="5" width="12" customWidth="1"/>
    <col min="6" max="6" width="19.8984375" customWidth="1"/>
    <col min="7" max="7" width="16.3984375" customWidth="1"/>
    <col min="11" max="11" width="23.69921875" customWidth="1"/>
  </cols>
  <sheetData>
    <row r="1" spans="1:29" x14ac:dyDescent="0.3">
      <c r="C1" s="31" t="s">
        <v>0</v>
      </c>
      <c r="D1" s="32">
        <v>0.33333333333333331</v>
      </c>
      <c r="E1" s="32">
        <v>0.35416666666666669</v>
      </c>
      <c r="F1" s="32">
        <v>0.375</v>
      </c>
      <c r="G1" s="32">
        <v>0.59375</v>
      </c>
      <c r="H1" s="32">
        <v>0.61458333333333337</v>
      </c>
      <c r="I1" s="32">
        <v>0.63541666666666663</v>
      </c>
      <c r="J1" s="32">
        <v>0.66666666666666663</v>
      </c>
    </row>
    <row r="2" spans="1:29" ht="62.4" x14ac:dyDescent="0.3">
      <c r="A2" s="13" t="s">
        <v>13</v>
      </c>
      <c r="B2" s="27" t="s">
        <v>39</v>
      </c>
      <c r="C2" s="14" t="s">
        <v>9</v>
      </c>
      <c r="D2" s="15" t="s">
        <v>1</v>
      </c>
      <c r="E2" s="15" t="s">
        <v>20</v>
      </c>
      <c r="F2" s="16" t="s">
        <v>42</v>
      </c>
      <c r="G2" s="16" t="s">
        <v>43</v>
      </c>
      <c r="H2" s="16" t="s">
        <v>21</v>
      </c>
      <c r="I2" s="17" t="s">
        <v>44</v>
      </c>
      <c r="J2" s="16" t="s">
        <v>45</v>
      </c>
      <c r="K2" s="35" t="s">
        <v>36</v>
      </c>
      <c r="M2" s="1" t="s">
        <v>11</v>
      </c>
      <c r="N2" s="1" t="s">
        <v>14</v>
      </c>
      <c r="O2" s="1" t="s">
        <v>12</v>
      </c>
      <c r="P2" s="8" t="s">
        <v>10</v>
      </c>
      <c r="Q2" s="6" t="s">
        <v>35</v>
      </c>
      <c r="R2" s="9" t="s">
        <v>34</v>
      </c>
      <c r="S2" s="6" t="s">
        <v>23</v>
      </c>
      <c r="T2" s="16" t="s">
        <v>53</v>
      </c>
      <c r="U2" s="6" t="s">
        <v>19</v>
      </c>
      <c r="V2" s="21" t="s">
        <v>22</v>
      </c>
      <c r="W2" s="19" t="s">
        <v>30</v>
      </c>
      <c r="X2" s="20" t="s">
        <v>31</v>
      </c>
      <c r="Y2" s="20" t="s">
        <v>32</v>
      </c>
      <c r="Z2" s="20" t="s">
        <v>33</v>
      </c>
      <c r="AA2" s="19" t="s">
        <v>46</v>
      </c>
      <c r="AB2" s="19" t="s">
        <v>47</v>
      </c>
      <c r="AC2" s="19" t="s">
        <v>48</v>
      </c>
    </row>
    <row r="3" spans="1:29" x14ac:dyDescent="0.3">
      <c r="A3" s="12" t="s">
        <v>98</v>
      </c>
      <c r="B3" s="12" t="s">
        <v>37</v>
      </c>
      <c r="C3" s="4">
        <f>+Tabla5[[#This Row],[FECHA]]</f>
        <v>44907</v>
      </c>
      <c r="D3" s="37">
        <v>0.33333333333333331</v>
      </c>
      <c r="E3" s="37">
        <v>0.34375</v>
      </c>
      <c r="F3" s="37">
        <v>0.35555555555555557</v>
      </c>
      <c r="G3" s="37">
        <v>0.53472222222222221</v>
      </c>
      <c r="H3" s="37">
        <v>0.54166666666666663</v>
      </c>
      <c r="I3" s="37">
        <v>0.56597222222222221</v>
      </c>
      <c r="J3" s="46">
        <v>0.83333333333333337</v>
      </c>
      <c r="K3" s="47" t="s">
        <v>93</v>
      </c>
      <c r="L3" s="53"/>
      <c r="M3" s="53"/>
      <c r="N3" s="57" t="s">
        <v>15</v>
      </c>
      <c r="O3" s="4">
        <f>Tabla538[[#This Row],[FECHA]]</f>
        <v>44907</v>
      </c>
      <c r="P3" s="7">
        <f>D3</f>
        <v>0.33333333333333331</v>
      </c>
      <c r="Q3" s="7">
        <f>E3-D3</f>
        <v>1.0416666666666685E-2</v>
      </c>
      <c r="R3" s="7">
        <f>F3-E3</f>
        <v>1.1805555555555569E-2</v>
      </c>
      <c r="S3" s="7">
        <f>G3-F3</f>
        <v>0.17916666666666664</v>
      </c>
      <c r="T3" s="7">
        <f>+Tabla538[[#This Row],[ALMUERZO]]-Tabla538[[#This Row],[TERMINO ACT. AM]]</f>
        <v>6.9444444444444198E-3</v>
      </c>
      <c r="U3" s="7">
        <f>+Tabla538[[#This Row],[INICIO ACTIVIDADES PM]]-Tabla538[[#This Row],[ALMUERZO]]</f>
        <v>2.430555555555558E-2</v>
      </c>
      <c r="V3" s="7">
        <f>+Tabla538[[#This Row],[TERMINO ACTIVIDADES PM]]-Tabla538[[#This Row],[INICIO ACTIVIDADES PM]]</f>
        <v>0.26736111111111116</v>
      </c>
      <c r="W3" s="3">
        <f>+$D$1</f>
        <v>0.33333333333333331</v>
      </c>
      <c r="X3" s="3">
        <f>+$E$1</f>
        <v>0.35416666666666669</v>
      </c>
      <c r="Y3" s="3">
        <f>+$F$1</f>
        <v>0.375</v>
      </c>
      <c r="Z3" s="3">
        <f>+$G$1</f>
        <v>0.59375</v>
      </c>
      <c r="AA3" s="3">
        <f>+$H$1</f>
        <v>0.61458333333333337</v>
      </c>
      <c r="AB3" s="3">
        <f>+$I$1</f>
        <v>0.63541666666666663</v>
      </c>
      <c r="AC3" s="3">
        <f>+$J$1</f>
        <v>0.66666666666666663</v>
      </c>
    </row>
    <row r="4" spans="1:29" x14ac:dyDescent="0.3">
      <c r="A4" s="12" t="s">
        <v>98</v>
      </c>
      <c r="B4" s="12" t="s">
        <v>26</v>
      </c>
      <c r="C4" s="4">
        <f>+Tabla5[[#This Row],[FECHA]]</f>
        <v>44908</v>
      </c>
      <c r="D4" s="37">
        <v>0.33333333333333331</v>
      </c>
      <c r="E4" s="37">
        <v>0.34375</v>
      </c>
      <c r="F4" s="37">
        <v>0.3527777777777778</v>
      </c>
      <c r="G4" s="37">
        <v>0.53472222222222221</v>
      </c>
      <c r="H4" s="37">
        <v>0.54513888888888895</v>
      </c>
      <c r="I4" s="37">
        <v>0.57291666666666663</v>
      </c>
      <c r="J4" s="46">
        <v>0.83333333333333337</v>
      </c>
      <c r="K4" s="47" t="s">
        <v>93</v>
      </c>
      <c r="M4" s="5"/>
      <c r="N4" s="5" t="s">
        <v>16</v>
      </c>
      <c r="O4" s="4">
        <f>Tabla538[[#This Row],[FECHA]]</f>
        <v>44908</v>
      </c>
      <c r="P4" s="7">
        <f>D4</f>
        <v>0.33333333333333331</v>
      </c>
      <c r="Q4" s="7">
        <f t="shared" ref="Q4:S7" si="0">E4-D4</f>
        <v>1.0416666666666685E-2</v>
      </c>
      <c r="R4" s="7">
        <f t="shared" si="0"/>
        <v>9.0277777777778012E-3</v>
      </c>
      <c r="S4" s="7">
        <f t="shared" si="0"/>
        <v>0.18194444444444441</v>
      </c>
      <c r="T4" s="7">
        <f>+Tabla538[[#This Row],[ALMUERZO]]-Tabla538[[#This Row],[TERMINO ACT. AM]]</f>
        <v>1.0416666666666741E-2</v>
      </c>
      <c r="U4" s="7">
        <f>+Tabla538[[#This Row],[INICIO ACTIVIDADES PM]]-Tabla538[[#This Row],[ALMUERZO]]</f>
        <v>2.7777777777777679E-2</v>
      </c>
      <c r="V4" s="7">
        <f>+Tabla538[[#This Row],[TERMINO ACTIVIDADES PM]]-Tabla538[[#This Row],[INICIO ACTIVIDADES PM]]</f>
        <v>0.26041666666666674</v>
      </c>
      <c r="W4" s="3">
        <f t="shared" ref="W4:W7" si="1">+$D$1</f>
        <v>0.33333333333333331</v>
      </c>
      <c r="X4" s="3">
        <f t="shared" ref="X4:X7" si="2">+$E$1</f>
        <v>0.35416666666666669</v>
      </c>
      <c r="Y4" s="3">
        <f t="shared" ref="Y4:Y7" si="3">+$F$1</f>
        <v>0.375</v>
      </c>
      <c r="Z4" s="3">
        <f t="shared" ref="Z4:Z7" si="4">+$G$1</f>
        <v>0.59375</v>
      </c>
      <c r="AA4" s="3">
        <f t="shared" ref="AA4:AA7" si="5">+$H$1</f>
        <v>0.61458333333333337</v>
      </c>
      <c r="AB4" s="3">
        <f t="shared" ref="AB4:AB7" si="6">+$I$1</f>
        <v>0.63541666666666663</v>
      </c>
      <c r="AC4" s="3">
        <f t="shared" ref="AC4:AC7" si="7">+$J$1</f>
        <v>0.66666666666666663</v>
      </c>
    </row>
    <row r="5" spans="1:29" x14ac:dyDescent="0.3">
      <c r="A5" s="12" t="s">
        <v>98</v>
      </c>
      <c r="B5" s="12" t="s">
        <v>27</v>
      </c>
      <c r="C5" s="4">
        <f>+Tabla5[[#This Row],[FECHA]]</f>
        <v>44909</v>
      </c>
      <c r="D5" s="37">
        <v>0.33333333333333331</v>
      </c>
      <c r="E5" s="37">
        <v>0.34375</v>
      </c>
      <c r="F5" s="37">
        <v>0.35416666666666669</v>
      </c>
      <c r="G5" s="37">
        <v>0.54166666666666663</v>
      </c>
      <c r="H5" s="37">
        <v>0.54861111111111105</v>
      </c>
      <c r="I5" s="37">
        <v>0.56944444444444442</v>
      </c>
      <c r="J5" s="46">
        <v>0.83333333333333304</v>
      </c>
      <c r="K5" s="47" t="s">
        <v>93</v>
      </c>
      <c r="M5" s="5"/>
      <c r="N5" s="5" t="s">
        <v>16</v>
      </c>
      <c r="O5" s="4">
        <f>Tabla538[[#This Row],[FECHA]]</f>
        <v>44909</v>
      </c>
      <c r="P5" s="7">
        <f>D5</f>
        <v>0.33333333333333331</v>
      </c>
      <c r="Q5" s="7">
        <f t="shared" si="0"/>
        <v>1.0416666666666685E-2</v>
      </c>
      <c r="R5" s="7">
        <f t="shared" si="0"/>
        <v>1.0416666666666685E-2</v>
      </c>
      <c r="S5" s="7">
        <f t="shared" si="0"/>
        <v>0.18749999999999994</v>
      </c>
      <c r="T5" s="7">
        <f>+Tabla538[[#This Row],[ALMUERZO]]-Tabla538[[#This Row],[TERMINO ACT. AM]]</f>
        <v>6.9444444444444198E-3</v>
      </c>
      <c r="U5" s="7">
        <f>+Tabla538[[#This Row],[INICIO ACTIVIDADES PM]]-Tabla538[[#This Row],[ALMUERZO]]</f>
        <v>2.083333333333337E-2</v>
      </c>
      <c r="V5" s="7">
        <f>+Tabla538[[#This Row],[TERMINO ACTIVIDADES PM]]-Tabla538[[#This Row],[INICIO ACTIVIDADES PM]]</f>
        <v>0.26388888888888862</v>
      </c>
      <c r="W5" s="3">
        <f t="shared" si="1"/>
        <v>0.33333333333333331</v>
      </c>
      <c r="X5" s="3">
        <f t="shared" si="2"/>
        <v>0.35416666666666669</v>
      </c>
      <c r="Y5" s="3">
        <f t="shared" si="3"/>
        <v>0.375</v>
      </c>
      <c r="Z5" s="3">
        <f t="shared" si="4"/>
        <v>0.59375</v>
      </c>
      <c r="AA5" s="3">
        <f t="shared" si="5"/>
        <v>0.61458333333333337</v>
      </c>
      <c r="AB5" s="3">
        <f t="shared" si="6"/>
        <v>0.63541666666666663</v>
      </c>
      <c r="AC5" s="3">
        <f t="shared" si="7"/>
        <v>0.66666666666666663</v>
      </c>
    </row>
    <row r="6" spans="1:29" x14ac:dyDescent="0.3">
      <c r="A6" s="12" t="s">
        <v>98</v>
      </c>
      <c r="B6" s="12" t="s">
        <v>28</v>
      </c>
      <c r="C6" s="4">
        <f>+Tabla5[[#This Row],[FECHA]]</f>
        <v>44910</v>
      </c>
      <c r="D6" s="37">
        <v>0.33680555555555558</v>
      </c>
      <c r="E6" s="37">
        <v>0.34722222222222227</v>
      </c>
      <c r="F6" s="37">
        <v>0.35416666666666669</v>
      </c>
      <c r="G6" s="37">
        <v>0.53125</v>
      </c>
      <c r="H6" s="37">
        <v>0.53819444444444442</v>
      </c>
      <c r="I6" s="37">
        <v>0.57638888888888895</v>
      </c>
      <c r="J6" s="46">
        <v>0.83333333333333304</v>
      </c>
      <c r="K6" s="47" t="s">
        <v>93</v>
      </c>
      <c r="M6" s="5"/>
      <c r="N6" s="5" t="s">
        <v>17</v>
      </c>
      <c r="O6" s="4">
        <f>Tabla538[[#This Row],[FECHA]]</f>
        <v>44910</v>
      </c>
      <c r="P6" s="7">
        <f>D6</f>
        <v>0.33680555555555558</v>
      </c>
      <c r="Q6" s="7">
        <f t="shared" si="0"/>
        <v>1.0416666666666685E-2</v>
      </c>
      <c r="R6" s="7">
        <f t="shared" si="0"/>
        <v>6.9444444444444198E-3</v>
      </c>
      <c r="S6" s="7">
        <f t="shared" si="0"/>
        <v>0.17708333333333331</v>
      </c>
      <c r="T6" s="7">
        <f>+Tabla538[[#This Row],[ALMUERZO]]-Tabla538[[#This Row],[TERMINO ACT. AM]]</f>
        <v>6.9444444444444198E-3</v>
      </c>
      <c r="U6" s="7">
        <f>+Tabla538[[#This Row],[INICIO ACTIVIDADES PM]]-Tabla538[[#This Row],[ALMUERZO]]</f>
        <v>3.8194444444444531E-2</v>
      </c>
      <c r="V6" s="7">
        <f>+Tabla538[[#This Row],[TERMINO ACTIVIDADES PM]]-Tabla538[[#This Row],[INICIO ACTIVIDADES PM]]</f>
        <v>0.25694444444444409</v>
      </c>
      <c r="W6" s="3">
        <f t="shared" si="1"/>
        <v>0.33333333333333331</v>
      </c>
      <c r="X6" s="3">
        <f t="shared" si="2"/>
        <v>0.35416666666666669</v>
      </c>
      <c r="Y6" s="3">
        <f t="shared" si="3"/>
        <v>0.375</v>
      </c>
      <c r="Z6" s="3">
        <f t="shared" si="4"/>
        <v>0.59375</v>
      </c>
      <c r="AA6" s="3">
        <f t="shared" si="5"/>
        <v>0.61458333333333337</v>
      </c>
      <c r="AB6" s="3">
        <f t="shared" si="6"/>
        <v>0.63541666666666663</v>
      </c>
      <c r="AC6" s="3">
        <f t="shared" si="7"/>
        <v>0.66666666666666663</v>
      </c>
    </row>
    <row r="7" spans="1:29" x14ac:dyDescent="0.3">
      <c r="A7" s="12" t="s">
        <v>98</v>
      </c>
      <c r="B7" s="12" t="s">
        <v>38</v>
      </c>
      <c r="C7" s="4">
        <f>+Tabla5[[#This Row],[FECHA]]</f>
        <v>44911</v>
      </c>
      <c r="D7" s="37">
        <v>0.33333333333333331</v>
      </c>
      <c r="E7" s="37">
        <v>0.34375</v>
      </c>
      <c r="F7" s="37">
        <v>0.35138888888888892</v>
      </c>
      <c r="G7" s="37">
        <v>0.53125</v>
      </c>
      <c r="H7" s="37">
        <v>0.54166666666666663</v>
      </c>
      <c r="I7" s="37">
        <v>0.57986111111111105</v>
      </c>
      <c r="J7" s="46">
        <v>0.83333333333333304</v>
      </c>
      <c r="K7" s="47" t="s">
        <v>93</v>
      </c>
      <c r="M7" s="5"/>
      <c r="N7" s="5" t="s">
        <v>18</v>
      </c>
      <c r="O7" s="4">
        <f>Tabla538[[#This Row],[FECHA]]</f>
        <v>44911</v>
      </c>
      <c r="P7" s="7">
        <f>D7</f>
        <v>0.33333333333333331</v>
      </c>
      <c r="Q7" s="7">
        <f t="shared" si="0"/>
        <v>1.0416666666666685E-2</v>
      </c>
      <c r="R7" s="7">
        <f t="shared" si="0"/>
        <v>7.6388888888889173E-3</v>
      </c>
      <c r="S7" s="7">
        <f t="shared" si="0"/>
        <v>0.17986111111111108</v>
      </c>
      <c r="T7" s="7">
        <f>+Tabla538[[#This Row],[ALMUERZO]]-Tabla538[[#This Row],[TERMINO ACT. AM]]</f>
        <v>1.041666666666663E-2</v>
      </c>
      <c r="U7" s="7">
        <f>+Tabla538[[#This Row],[INICIO ACTIVIDADES PM]]-Tabla538[[#This Row],[ALMUERZO]]</f>
        <v>3.819444444444442E-2</v>
      </c>
      <c r="V7" s="7">
        <f>+Tabla538[[#This Row],[TERMINO ACTIVIDADES PM]]-Tabla538[[#This Row],[INICIO ACTIVIDADES PM]]</f>
        <v>0.25347222222222199</v>
      </c>
      <c r="W7" s="3">
        <f t="shared" si="1"/>
        <v>0.33333333333333331</v>
      </c>
      <c r="X7" s="3">
        <f t="shared" si="2"/>
        <v>0.35416666666666669</v>
      </c>
      <c r="Y7" s="3">
        <f t="shared" si="3"/>
        <v>0.375</v>
      </c>
      <c r="Z7" s="3">
        <f t="shared" si="4"/>
        <v>0.59375</v>
      </c>
      <c r="AA7" s="3">
        <f t="shared" si="5"/>
        <v>0.61458333333333337</v>
      </c>
      <c r="AB7" s="3">
        <f t="shared" si="6"/>
        <v>0.63541666666666663</v>
      </c>
      <c r="AC7" s="3">
        <f t="shared" si="7"/>
        <v>0.66666666666666663</v>
      </c>
    </row>
    <row r="8" spans="1:29" x14ac:dyDescent="0.3">
      <c r="A8" s="11"/>
      <c r="B8" s="11"/>
      <c r="C8" s="4"/>
      <c r="D8" s="39"/>
      <c r="E8" s="56"/>
      <c r="F8" s="56"/>
      <c r="G8" s="56" t="s">
        <v>101</v>
      </c>
      <c r="H8" s="56"/>
      <c r="I8" s="56"/>
      <c r="J8" s="56"/>
      <c r="K8" s="38"/>
      <c r="M8" s="5"/>
      <c r="N8" s="5"/>
      <c r="O8" s="4"/>
      <c r="P8" s="7"/>
      <c r="Q8" s="7"/>
      <c r="R8" s="7"/>
      <c r="S8" s="7"/>
      <c r="T8" s="7"/>
      <c r="U8" s="7"/>
      <c r="V8" s="7"/>
      <c r="W8" s="3"/>
      <c r="X8" s="3"/>
      <c r="Y8" s="3"/>
      <c r="Z8" s="3"/>
      <c r="AA8" s="3"/>
      <c r="AB8" s="3"/>
      <c r="AC8" s="3"/>
    </row>
    <row r="9" spans="1:29" x14ac:dyDescent="0.3">
      <c r="A9" s="11"/>
      <c r="B9" s="11"/>
      <c r="C9" s="11"/>
      <c r="D9" s="11"/>
      <c r="E9" s="11"/>
      <c r="F9" s="11"/>
      <c r="G9" s="11"/>
      <c r="H9" s="11"/>
      <c r="I9" s="11"/>
      <c r="J9" s="56"/>
      <c r="K9" s="38"/>
      <c r="M9" s="5">
        <f>Tabla538[[#This Row],[Columna1]]</f>
        <v>0</v>
      </c>
      <c r="N9" s="5"/>
      <c r="O9" s="4"/>
      <c r="T9" s="3"/>
      <c r="Y9" s="3"/>
      <c r="Z9" s="3"/>
      <c r="AA9" s="3"/>
      <c r="AB9" s="3"/>
      <c r="AC9" s="3"/>
    </row>
    <row r="10" spans="1:29" x14ac:dyDescent="0.3">
      <c r="A10" s="40"/>
      <c r="B10" s="40"/>
      <c r="C10" s="40"/>
      <c r="D10" s="40"/>
      <c r="E10" s="40"/>
      <c r="F10" s="40"/>
      <c r="G10" s="40"/>
      <c r="H10" s="40"/>
      <c r="I10" s="40"/>
      <c r="J10" s="37"/>
      <c r="K10" s="38"/>
      <c r="M10" s="18"/>
      <c r="N10" s="5"/>
      <c r="O10" s="4"/>
      <c r="T10" s="3"/>
      <c r="Y10" s="3"/>
      <c r="Z10" s="3"/>
      <c r="AA10" s="3"/>
      <c r="AB10" s="3"/>
      <c r="AC10" s="3"/>
    </row>
    <row r="11" spans="1:29" x14ac:dyDescent="0.3">
      <c r="A11" s="40"/>
      <c r="B11" s="40"/>
      <c r="C11" s="40"/>
      <c r="D11" s="40"/>
      <c r="E11" s="40"/>
      <c r="F11" s="40"/>
      <c r="G11" s="40"/>
      <c r="H11" s="40"/>
      <c r="I11" s="40"/>
      <c r="J11" s="37"/>
      <c r="K11" s="38"/>
      <c r="M11" s="5"/>
      <c r="N11" s="5"/>
      <c r="O11" s="4"/>
      <c r="T11" s="3"/>
      <c r="X11" s="3"/>
      <c r="Y11" s="3"/>
      <c r="Z11" s="3"/>
      <c r="AA11" s="3"/>
      <c r="AB11" s="3"/>
      <c r="AC11" s="3"/>
    </row>
    <row r="12" spans="1:29" x14ac:dyDescent="0.3">
      <c r="A12" s="11"/>
      <c r="B12" s="11"/>
      <c r="C12" s="11"/>
      <c r="D12" s="11"/>
      <c r="E12" s="11"/>
      <c r="F12" s="11"/>
      <c r="G12" s="11"/>
      <c r="H12" s="11"/>
      <c r="I12" s="11"/>
      <c r="J12" s="37"/>
      <c r="K12" s="38"/>
      <c r="M12" s="5"/>
      <c r="N12" s="5"/>
      <c r="O12" s="4"/>
      <c r="T12" s="3"/>
      <c r="Y12" s="3"/>
      <c r="Z12" s="3"/>
      <c r="AA12" s="3"/>
      <c r="AB12" s="3"/>
      <c r="AC12" s="3"/>
    </row>
    <row r="13" spans="1:29" ht="16.2" thickBot="1" x14ac:dyDescent="0.35">
      <c r="A13" s="12"/>
      <c r="B13" s="12"/>
      <c r="C13" s="12"/>
      <c r="D13" s="12"/>
      <c r="E13" s="12"/>
      <c r="F13" s="12"/>
      <c r="G13" s="12"/>
      <c r="H13" s="12"/>
      <c r="I13" s="12"/>
      <c r="J13" s="10"/>
      <c r="K13" s="56"/>
      <c r="M13" s="5"/>
      <c r="N13" s="5"/>
      <c r="O13" s="4"/>
      <c r="T13" s="3"/>
      <c r="Y13" s="3"/>
      <c r="Z13" s="3"/>
      <c r="AA13" s="3"/>
      <c r="AB13" s="3"/>
      <c r="AC13" s="3"/>
    </row>
    <row r="14" spans="1:29" ht="16.2" thickBot="1" x14ac:dyDescent="0.35">
      <c r="A14" s="22"/>
      <c r="B14" s="22"/>
      <c r="C14" s="22"/>
      <c r="D14" s="22"/>
      <c r="E14" s="22"/>
      <c r="F14" s="23"/>
      <c r="G14" s="24" t="s">
        <v>24</v>
      </c>
      <c r="H14" s="24"/>
      <c r="I14" s="28"/>
      <c r="J14" s="28"/>
      <c r="K14" s="56"/>
      <c r="M14" s="5"/>
      <c r="N14" s="5"/>
      <c r="O14" s="4"/>
      <c r="T14" s="3"/>
      <c r="X14" s="3"/>
      <c r="Y14" s="3"/>
      <c r="Z14" s="3"/>
      <c r="AA14" s="3"/>
      <c r="AB14" s="3"/>
      <c r="AC14" s="3"/>
    </row>
    <row r="15" spans="1:29" ht="16.2" thickBot="1" x14ac:dyDescent="0.35">
      <c r="A15" s="22"/>
      <c r="B15" s="22"/>
      <c r="C15" s="22"/>
      <c r="D15" s="22"/>
      <c r="E15" s="22"/>
      <c r="F15" s="26" t="s">
        <v>29</v>
      </c>
      <c r="G15" s="26" t="s">
        <v>81</v>
      </c>
      <c r="H15" s="26"/>
      <c r="I15" s="28"/>
      <c r="J15" s="28"/>
      <c r="K15" s="56"/>
      <c r="T15" s="3"/>
    </row>
    <row r="16" spans="1:29" ht="16.2" thickBot="1" x14ac:dyDescent="0.35">
      <c r="A16" s="22"/>
      <c r="B16" s="22"/>
      <c r="C16" s="22"/>
      <c r="D16" s="22"/>
      <c r="E16" s="22"/>
      <c r="F16" s="23" t="s">
        <v>25</v>
      </c>
      <c r="G16" s="23">
        <f>+(G3-F3)+(J3-I3)</f>
        <v>0.4465277777777778</v>
      </c>
      <c r="H16" s="23"/>
      <c r="I16" s="28"/>
      <c r="J16" s="28"/>
      <c r="K16" s="58"/>
    </row>
    <row r="17" spans="1:20" ht="16.2" thickBot="1" x14ac:dyDescent="0.35">
      <c r="A17" s="22"/>
      <c r="B17" s="22"/>
      <c r="C17" s="22"/>
      <c r="D17" s="22"/>
      <c r="E17" s="22"/>
      <c r="F17" s="23" t="s">
        <v>26</v>
      </c>
      <c r="G17" s="23">
        <f>+(G4-F4)+(J4-I4)</f>
        <v>0.44236111111111115</v>
      </c>
      <c r="H17" s="23"/>
      <c r="I17" s="28"/>
      <c r="J17" s="28"/>
      <c r="K17" s="58"/>
    </row>
    <row r="18" spans="1:20" ht="16.2" thickBot="1" x14ac:dyDescent="0.35">
      <c r="A18" s="22"/>
      <c r="B18" s="22"/>
      <c r="C18" s="22"/>
      <c r="D18" s="22"/>
      <c r="E18" s="22"/>
      <c r="F18" s="23" t="s">
        <v>27</v>
      </c>
      <c r="G18" s="23">
        <f>+(G5-F5)+(J5-I5)</f>
        <v>0.45138888888888856</v>
      </c>
      <c r="H18" s="23"/>
      <c r="I18" s="28"/>
      <c r="J18" s="28"/>
      <c r="K18" s="58"/>
    </row>
    <row r="19" spans="1:20" ht="16.2" thickBot="1" x14ac:dyDescent="0.35">
      <c r="A19" s="22"/>
      <c r="B19" s="22"/>
      <c r="C19" s="22"/>
      <c r="D19" s="22"/>
      <c r="E19" s="22"/>
      <c r="F19" s="23" t="s">
        <v>28</v>
      </c>
      <c r="G19" s="23">
        <f>+(G6-F6)+(J6-I6)</f>
        <v>0.4340277777777774</v>
      </c>
      <c r="H19" s="23"/>
      <c r="I19" s="28"/>
      <c r="J19" s="28"/>
      <c r="K19" s="58"/>
    </row>
    <row r="20" spans="1:20" ht="16.2" thickBot="1" x14ac:dyDescent="0.35">
      <c r="A20" s="22"/>
      <c r="B20" s="22"/>
      <c r="C20" s="22"/>
      <c r="D20" s="22"/>
      <c r="E20" s="22"/>
      <c r="F20" s="23" t="s">
        <v>50</v>
      </c>
      <c r="G20" s="23">
        <f>+(G7-F7)+(J7-I7)</f>
        <v>0.43333333333333307</v>
      </c>
      <c r="H20" s="23"/>
      <c r="I20" s="28"/>
      <c r="J20" s="28"/>
      <c r="K20" s="58"/>
    </row>
    <row r="21" spans="1:20" ht="20.25" customHeight="1" thickBot="1" x14ac:dyDescent="0.35">
      <c r="A21" s="22"/>
      <c r="B21" s="22"/>
      <c r="C21" s="22"/>
      <c r="D21" s="22"/>
      <c r="E21" s="22"/>
      <c r="F21" s="30" t="s">
        <v>40</v>
      </c>
      <c r="G21" s="30">
        <f>+AVERAGEIF(G16:G20, "&lt;&gt; 0")</f>
        <v>0.44152777777777763</v>
      </c>
      <c r="H21" s="30"/>
      <c r="I21" s="28"/>
      <c r="J21" s="28"/>
      <c r="K21" s="58"/>
    </row>
    <row r="22" spans="1:20" ht="16.2" thickBot="1" x14ac:dyDescent="0.35">
      <c r="A22" s="22"/>
      <c r="B22" s="22"/>
      <c r="C22" s="22"/>
      <c r="D22" s="22"/>
      <c r="E22" s="22"/>
      <c r="F22" s="25" t="s">
        <v>0</v>
      </c>
      <c r="G22" s="25">
        <v>0.4236111111111111</v>
      </c>
      <c r="H22" s="25"/>
      <c r="I22" s="28"/>
      <c r="J22" s="28"/>
    </row>
    <row r="23" spans="1:20" ht="16.2" thickBot="1" x14ac:dyDescent="0.35">
      <c r="A23" s="41"/>
      <c r="B23" s="41"/>
      <c r="C23" s="42"/>
      <c r="D23" s="43"/>
      <c r="E23" s="43"/>
      <c r="F23" s="30" t="s">
        <v>41</v>
      </c>
      <c r="G23" s="44">
        <f>G21/G22</f>
        <v>1.0422950819672128</v>
      </c>
      <c r="H23" s="44"/>
      <c r="I23" s="43"/>
      <c r="J23" s="28"/>
    </row>
    <row r="24" spans="1:20" x14ac:dyDescent="0.3">
      <c r="E24" s="3"/>
      <c r="F24" s="3"/>
      <c r="I24" s="28"/>
      <c r="J24" s="28"/>
    </row>
    <row r="25" spans="1:20" x14ac:dyDescent="0.3">
      <c r="T25" s="3"/>
    </row>
    <row r="26" spans="1:20" x14ac:dyDescent="0.3">
      <c r="T26" s="3"/>
    </row>
    <row r="27" spans="1:20" ht="15.6" customHeight="1" x14ac:dyDescent="0.3">
      <c r="H27" s="181" t="s">
        <v>105</v>
      </c>
      <c r="I27" s="182" t="s">
        <v>103</v>
      </c>
      <c r="T27" s="3"/>
    </row>
    <row r="28" spans="1:20" ht="15.6" customHeight="1" x14ac:dyDescent="0.3">
      <c r="H28" s="181"/>
      <c r="I28" s="183"/>
      <c r="T28" s="3"/>
    </row>
    <row r="29" spans="1:20" ht="15.6" customHeight="1" x14ac:dyDescent="0.3">
      <c r="H29" s="181"/>
      <c r="I29" s="183"/>
      <c r="T29" s="3"/>
    </row>
    <row r="30" spans="1:20" ht="15.6" customHeight="1" x14ac:dyDescent="0.3">
      <c r="H30" s="181"/>
      <c r="I30" s="184"/>
      <c r="T30" s="3"/>
    </row>
    <row r="31" spans="1:20" x14ac:dyDescent="0.3">
      <c r="T31" s="3"/>
    </row>
    <row r="32" spans="1:20" x14ac:dyDescent="0.3">
      <c r="T32" s="3"/>
    </row>
    <row r="33" spans="20:20" x14ac:dyDescent="0.3">
      <c r="T33" s="3"/>
    </row>
    <row r="34" spans="20:20" x14ac:dyDescent="0.3">
      <c r="T34" s="3"/>
    </row>
    <row r="35" spans="20:20" x14ac:dyDescent="0.3">
      <c r="T35" s="3"/>
    </row>
    <row r="36" spans="20:20" x14ac:dyDescent="0.3">
      <c r="T36" s="3"/>
    </row>
    <row r="37" spans="20:20" x14ac:dyDescent="0.3">
      <c r="T37" s="3"/>
    </row>
    <row r="38" spans="20:20" x14ac:dyDescent="0.3">
      <c r="T38" s="3"/>
    </row>
    <row r="39" spans="20:20" x14ac:dyDescent="0.3">
      <c r="T39" s="3"/>
    </row>
    <row r="40" spans="20:20" x14ac:dyDescent="0.3">
      <c r="T40" s="3"/>
    </row>
    <row r="41" spans="20:20" x14ac:dyDescent="0.3">
      <c r="T41" s="3"/>
    </row>
    <row r="42" spans="20:20" x14ac:dyDescent="0.3">
      <c r="T42" s="3"/>
    </row>
    <row r="43" spans="20:20" x14ac:dyDescent="0.3">
      <c r="T43" s="3"/>
    </row>
    <row r="44" spans="20:20" x14ac:dyDescent="0.3">
      <c r="T44" s="3"/>
    </row>
    <row r="45" spans="20:20" x14ac:dyDescent="0.3">
      <c r="T45" s="3"/>
    </row>
    <row r="46" spans="20:20" x14ac:dyDescent="0.3">
      <c r="T46" s="3"/>
    </row>
    <row r="47" spans="20:20" x14ac:dyDescent="0.3">
      <c r="T47" s="3"/>
    </row>
    <row r="48" spans="20:20" x14ac:dyDescent="0.3">
      <c r="T48" s="3"/>
    </row>
    <row r="49" spans="20:20" x14ac:dyDescent="0.3">
      <c r="T49" s="3"/>
    </row>
    <row r="50" spans="20:20" x14ac:dyDescent="0.3">
      <c r="T50" s="3"/>
    </row>
    <row r="51" spans="20:20" x14ac:dyDescent="0.3">
      <c r="T51" s="3"/>
    </row>
    <row r="52" spans="20:20" x14ac:dyDescent="0.3">
      <c r="T52" s="3"/>
    </row>
    <row r="53" spans="20:20" x14ac:dyDescent="0.3">
      <c r="T53" s="3"/>
    </row>
    <row r="54" spans="20:20" x14ac:dyDescent="0.3">
      <c r="T54" s="3"/>
    </row>
    <row r="55" spans="20:20" x14ac:dyDescent="0.3">
      <c r="T55" s="3"/>
    </row>
    <row r="56" spans="20:20" x14ac:dyDescent="0.3">
      <c r="T56" s="3"/>
    </row>
    <row r="57" spans="20:20" x14ac:dyDescent="0.3">
      <c r="T57" s="3"/>
    </row>
    <row r="58" spans="20:20" x14ac:dyDescent="0.3">
      <c r="T58" s="3"/>
    </row>
    <row r="59" spans="20:20" x14ac:dyDescent="0.3">
      <c r="T59" s="3"/>
    </row>
    <row r="60" spans="20:20" x14ac:dyDescent="0.3">
      <c r="T60" s="3"/>
    </row>
    <row r="61" spans="20:20" x14ac:dyDescent="0.3">
      <c r="T61" s="3"/>
    </row>
    <row r="62" spans="20:20" x14ac:dyDescent="0.3">
      <c r="T62" s="3"/>
    </row>
    <row r="63" spans="20:20" x14ac:dyDescent="0.3">
      <c r="T63" s="3"/>
    </row>
  </sheetData>
  <mergeCells count="2">
    <mergeCell ref="H27:H30"/>
    <mergeCell ref="I27:I30"/>
  </mergeCells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72"/>
  <sheetViews>
    <sheetView zoomScale="60" zoomScaleNormal="60" workbookViewId="0">
      <selection activeCell="J8" sqref="J8"/>
    </sheetView>
  </sheetViews>
  <sheetFormatPr baseColWidth="10" defaultRowHeight="15.6" x14ac:dyDescent="0.3"/>
  <cols>
    <col min="1" max="1" width="11.3984375" bestFit="1" customWidth="1"/>
    <col min="11" max="11" width="13.8984375" customWidth="1"/>
    <col min="12" max="12" width="13" customWidth="1"/>
    <col min="13" max="13" width="13.19921875" customWidth="1"/>
    <col min="14" max="14" width="13.3984375" customWidth="1"/>
    <col min="21" max="21" width="12.3984375" customWidth="1"/>
  </cols>
  <sheetData>
    <row r="1" spans="1:29" x14ac:dyDescent="0.3">
      <c r="C1" s="31" t="s">
        <v>0</v>
      </c>
      <c r="D1" s="32">
        <v>0.33333333333333331</v>
      </c>
      <c r="E1" s="32">
        <v>0.35416666666666669</v>
      </c>
      <c r="F1" s="32">
        <v>0.375</v>
      </c>
      <c r="G1" s="32">
        <v>0.59375</v>
      </c>
      <c r="H1" s="32">
        <v>0.61458333333333337</v>
      </c>
      <c r="I1" s="32">
        <v>0.63541666666666663</v>
      </c>
      <c r="J1" s="32">
        <v>0.66666666666666663</v>
      </c>
    </row>
    <row r="2" spans="1:29" ht="62.4" x14ac:dyDescent="0.3">
      <c r="A2" s="13" t="s">
        <v>13</v>
      </c>
      <c r="B2" s="27" t="s">
        <v>39</v>
      </c>
      <c r="C2" s="14" t="s">
        <v>9</v>
      </c>
      <c r="D2" s="15" t="s">
        <v>1</v>
      </c>
      <c r="E2" s="15" t="s">
        <v>20</v>
      </c>
      <c r="F2" s="16" t="s">
        <v>42</v>
      </c>
      <c r="G2" s="16" t="s">
        <v>43</v>
      </c>
      <c r="H2" s="16" t="s">
        <v>21</v>
      </c>
      <c r="I2" s="17" t="s">
        <v>44</v>
      </c>
      <c r="J2" s="16" t="s">
        <v>45</v>
      </c>
      <c r="K2" s="35" t="s">
        <v>36</v>
      </c>
      <c r="M2" s="1" t="s">
        <v>11</v>
      </c>
      <c r="N2" s="1" t="s">
        <v>14</v>
      </c>
      <c r="O2" s="1" t="s">
        <v>12</v>
      </c>
      <c r="P2" s="8" t="s">
        <v>10</v>
      </c>
      <c r="Q2" s="6" t="s">
        <v>35</v>
      </c>
      <c r="R2" s="9" t="s">
        <v>34</v>
      </c>
      <c r="S2" s="6" t="s">
        <v>23</v>
      </c>
      <c r="T2" s="16" t="s">
        <v>53</v>
      </c>
      <c r="U2" s="6" t="s">
        <v>19</v>
      </c>
      <c r="V2" s="21" t="s">
        <v>22</v>
      </c>
      <c r="W2" s="19" t="s">
        <v>30</v>
      </c>
      <c r="X2" s="20" t="s">
        <v>31</v>
      </c>
      <c r="Y2" s="20" t="s">
        <v>32</v>
      </c>
      <c r="Z2" s="20" t="s">
        <v>33</v>
      </c>
      <c r="AA2" s="19" t="s">
        <v>46</v>
      </c>
      <c r="AB2" s="19" t="s">
        <v>47</v>
      </c>
      <c r="AC2" s="19" t="s">
        <v>48</v>
      </c>
    </row>
    <row r="3" spans="1:29" x14ac:dyDescent="0.3">
      <c r="A3" s="12" t="s">
        <v>96</v>
      </c>
      <c r="B3" s="12" t="s">
        <v>37</v>
      </c>
      <c r="C3" s="4">
        <f>+Tabla5[[#This Row],[FECHA]]</f>
        <v>44907</v>
      </c>
      <c r="D3" s="37">
        <v>0.33333333333333331</v>
      </c>
      <c r="E3" s="37">
        <v>0.34722222222222227</v>
      </c>
      <c r="F3" s="37">
        <v>0.36805555555555558</v>
      </c>
      <c r="G3" s="37">
        <v>0.59722222222222221</v>
      </c>
      <c r="H3" s="37">
        <v>0.60416666666666663</v>
      </c>
      <c r="I3" s="37">
        <v>0.62847222222222221</v>
      </c>
      <c r="J3" s="46">
        <v>0.65625</v>
      </c>
      <c r="K3" s="47"/>
      <c r="L3" s="53"/>
      <c r="M3" s="53"/>
      <c r="N3" s="57" t="s">
        <v>15</v>
      </c>
      <c r="O3" s="4">
        <f>Tabla53[[#This Row],[FECHA]]</f>
        <v>44907</v>
      </c>
      <c r="P3" s="7">
        <f>D3</f>
        <v>0.33333333333333331</v>
      </c>
      <c r="Q3" s="7">
        <f>E3-D3</f>
        <v>1.3888888888888951E-2</v>
      </c>
      <c r="R3" s="7">
        <f>F3-E3</f>
        <v>2.0833333333333315E-2</v>
      </c>
      <c r="S3" s="7">
        <f>G3-F3</f>
        <v>0.22916666666666663</v>
      </c>
      <c r="T3" s="7">
        <f>+Tabla53[[#This Row],[ALMUERZO]]-Tabla53[[#This Row],[TERMINO ACT. AM]]</f>
        <v>6.9444444444444198E-3</v>
      </c>
      <c r="U3" s="7">
        <f>+Tabla53[[#This Row],[INICIO ACTIVIDADES PM]]-Tabla53[[#This Row],[ALMUERZO]]</f>
        <v>2.430555555555558E-2</v>
      </c>
      <c r="V3" s="7">
        <f>+Tabla53[[#This Row],[TERMINO ACTIVIDADES PM]]-Tabla53[[#This Row],[INICIO ACTIVIDADES PM]]</f>
        <v>2.777777777777779E-2</v>
      </c>
      <c r="W3" s="3">
        <f>+$D$1</f>
        <v>0.33333333333333331</v>
      </c>
      <c r="X3" s="3">
        <f>+$E$1</f>
        <v>0.35416666666666669</v>
      </c>
      <c r="Y3" s="3">
        <f>+$F$1</f>
        <v>0.375</v>
      </c>
      <c r="Z3" s="3">
        <f>+$G$1</f>
        <v>0.59375</v>
      </c>
      <c r="AA3" s="3">
        <f>+$H$1</f>
        <v>0.61458333333333337</v>
      </c>
      <c r="AB3" s="3">
        <f>+$I$1</f>
        <v>0.63541666666666663</v>
      </c>
      <c r="AC3" s="3">
        <f>+$J$1</f>
        <v>0.66666666666666663</v>
      </c>
    </row>
    <row r="4" spans="1:29" x14ac:dyDescent="0.3">
      <c r="A4" s="12" t="s">
        <v>96</v>
      </c>
      <c r="B4" s="12" t="s">
        <v>26</v>
      </c>
      <c r="C4" s="4">
        <f>+Tabla5[[#This Row],[FECHA]]</f>
        <v>44908</v>
      </c>
      <c r="D4" s="37">
        <v>0.33680555555555558</v>
      </c>
      <c r="E4" s="37">
        <v>0.35416666666666669</v>
      </c>
      <c r="F4" s="37">
        <v>0.36458333333333331</v>
      </c>
      <c r="G4" s="37">
        <v>0.60625000000000007</v>
      </c>
      <c r="H4" s="37">
        <v>0.61111111111111105</v>
      </c>
      <c r="I4" s="37">
        <v>0.64583333333333337</v>
      </c>
      <c r="J4" s="46">
        <v>0.65972222222222221</v>
      </c>
      <c r="K4" s="47"/>
      <c r="M4" s="5"/>
      <c r="N4" s="5" t="s">
        <v>16</v>
      </c>
      <c r="O4" s="4">
        <f>Tabla53[[#This Row],[FECHA]]</f>
        <v>44908</v>
      </c>
      <c r="P4" s="7">
        <f>D4</f>
        <v>0.33680555555555558</v>
      </c>
      <c r="Q4" s="7">
        <f t="shared" ref="Q4:S7" si="0">E4-D4</f>
        <v>1.7361111111111105E-2</v>
      </c>
      <c r="R4" s="7">
        <f t="shared" si="0"/>
        <v>1.041666666666663E-2</v>
      </c>
      <c r="S4" s="7">
        <f t="shared" si="0"/>
        <v>0.24166666666666675</v>
      </c>
      <c r="T4" s="7">
        <f>+Tabla53[[#This Row],[ALMUERZO]]-Tabla53[[#This Row],[TERMINO ACT. AM]]</f>
        <v>4.8611111111109828E-3</v>
      </c>
      <c r="U4" s="7">
        <f>+Tabla53[[#This Row],[INICIO ACTIVIDADES PM]]-Tabla53[[#This Row],[ALMUERZO]]</f>
        <v>3.4722222222222321E-2</v>
      </c>
      <c r="V4" s="7">
        <f>+Tabla53[[#This Row],[TERMINO ACTIVIDADES PM]]-Tabla53[[#This Row],[INICIO ACTIVIDADES PM]]</f>
        <v>1.388888888888884E-2</v>
      </c>
      <c r="W4" s="3">
        <f t="shared" ref="W4:W7" si="1">+$D$1</f>
        <v>0.33333333333333331</v>
      </c>
      <c r="X4" s="3">
        <f t="shared" ref="X4:X7" si="2">+$E$1</f>
        <v>0.35416666666666669</v>
      </c>
      <c r="Y4" s="3">
        <f t="shared" ref="Y4:Y7" si="3">+$F$1</f>
        <v>0.375</v>
      </c>
      <c r="Z4" s="3">
        <f t="shared" ref="Z4:Z7" si="4">+$G$1</f>
        <v>0.59375</v>
      </c>
      <c r="AA4" s="3">
        <f t="shared" ref="AA4:AA7" si="5">+$H$1</f>
        <v>0.61458333333333337</v>
      </c>
      <c r="AB4" s="3">
        <f t="shared" ref="AB4:AB7" si="6">+$I$1</f>
        <v>0.63541666666666663</v>
      </c>
      <c r="AC4" s="3">
        <f t="shared" ref="AC4:AC7" si="7">+$J$1</f>
        <v>0.66666666666666663</v>
      </c>
    </row>
    <row r="5" spans="1:29" ht="24.6" x14ac:dyDescent="0.3">
      <c r="A5" s="12" t="s">
        <v>96</v>
      </c>
      <c r="B5" s="12" t="s">
        <v>27</v>
      </c>
      <c r="C5" s="4">
        <f>+Tabla5[[#This Row],[FECHA]]</f>
        <v>44909</v>
      </c>
      <c r="D5" s="37">
        <v>0.33680555555555558</v>
      </c>
      <c r="E5" s="37">
        <v>0.3576388888888889</v>
      </c>
      <c r="F5" s="37">
        <v>0.38194444444444442</v>
      </c>
      <c r="G5" s="37">
        <v>0.60416666666666663</v>
      </c>
      <c r="H5" s="37">
        <v>0.61458333333333337</v>
      </c>
      <c r="I5" s="37">
        <v>0.80902777777777779</v>
      </c>
      <c r="J5" s="46">
        <v>0.83333333333333337</v>
      </c>
      <c r="K5" s="47" t="s">
        <v>130</v>
      </c>
      <c r="M5" s="5"/>
      <c r="N5" s="5" t="s">
        <v>16</v>
      </c>
      <c r="O5" s="4">
        <f>Tabla53[[#This Row],[FECHA]]</f>
        <v>44909</v>
      </c>
      <c r="P5" s="7">
        <f>D5</f>
        <v>0.33680555555555558</v>
      </c>
      <c r="Q5" s="7">
        <f t="shared" si="0"/>
        <v>2.0833333333333315E-2</v>
      </c>
      <c r="R5" s="7">
        <f t="shared" si="0"/>
        <v>2.4305555555555525E-2</v>
      </c>
      <c r="S5" s="7">
        <f t="shared" si="0"/>
        <v>0.22222222222222221</v>
      </c>
      <c r="T5" s="7">
        <f>+Tabla53[[#This Row],[ALMUERZO]]-Tabla53[[#This Row],[TERMINO ACT. AM]]</f>
        <v>1.0416666666666741E-2</v>
      </c>
      <c r="U5" s="7">
        <f>+Tabla53[[#This Row],[INICIO ACTIVIDADES PM]]-Tabla53[[#This Row],[ALMUERZO]]</f>
        <v>0.19444444444444442</v>
      </c>
      <c r="V5" s="7">
        <f>+Tabla53[[#This Row],[TERMINO ACTIVIDADES PM]]-Tabla53[[#This Row],[INICIO ACTIVIDADES PM]]</f>
        <v>2.430555555555558E-2</v>
      </c>
      <c r="W5" s="3">
        <f t="shared" si="1"/>
        <v>0.33333333333333331</v>
      </c>
      <c r="X5" s="3">
        <f t="shared" si="2"/>
        <v>0.35416666666666669</v>
      </c>
      <c r="Y5" s="3">
        <f t="shared" si="3"/>
        <v>0.375</v>
      </c>
      <c r="Z5" s="3">
        <f t="shared" si="4"/>
        <v>0.59375</v>
      </c>
      <c r="AA5" s="3">
        <f t="shared" si="5"/>
        <v>0.61458333333333337</v>
      </c>
      <c r="AB5" s="3">
        <f t="shared" si="6"/>
        <v>0.63541666666666663</v>
      </c>
      <c r="AC5" s="3">
        <f t="shared" si="7"/>
        <v>0.66666666666666663</v>
      </c>
    </row>
    <row r="6" spans="1:29" ht="24.6" x14ac:dyDescent="0.3">
      <c r="A6" s="12" t="s">
        <v>96</v>
      </c>
      <c r="B6" s="12" t="s">
        <v>28</v>
      </c>
      <c r="C6" s="4">
        <f>+Tabla5[[#This Row],[FECHA]]</f>
        <v>44910</v>
      </c>
      <c r="D6" s="37">
        <v>0.34027777777777773</v>
      </c>
      <c r="E6" s="37">
        <v>0.3576388888888889</v>
      </c>
      <c r="F6" s="37">
        <v>0.37847222222222227</v>
      </c>
      <c r="G6" s="37">
        <v>0.58333333333333337</v>
      </c>
      <c r="H6" s="37">
        <v>0.61111111111111105</v>
      </c>
      <c r="I6" s="37">
        <v>0.79513888888888884</v>
      </c>
      <c r="J6" s="46">
        <v>0.82291666666666663</v>
      </c>
      <c r="K6" s="47" t="s">
        <v>130</v>
      </c>
      <c r="M6" s="5"/>
      <c r="N6" s="5" t="s">
        <v>17</v>
      </c>
      <c r="O6" s="4">
        <f>Tabla53[[#This Row],[FECHA]]</f>
        <v>44910</v>
      </c>
      <c r="P6" s="7">
        <f>D6</f>
        <v>0.34027777777777773</v>
      </c>
      <c r="Q6" s="7">
        <f t="shared" si="0"/>
        <v>1.736111111111116E-2</v>
      </c>
      <c r="R6" s="7">
        <f t="shared" si="0"/>
        <v>2.083333333333337E-2</v>
      </c>
      <c r="S6" s="7">
        <f t="shared" si="0"/>
        <v>0.2048611111111111</v>
      </c>
      <c r="T6" s="7">
        <f>+Tabla53[[#This Row],[ALMUERZO]]-Tabla53[[#This Row],[TERMINO ACT. AM]]</f>
        <v>2.7777777777777679E-2</v>
      </c>
      <c r="U6" s="7">
        <f>+Tabla53[[#This Row],[INICIO ACTIVIDADES PM]]-Tabla53[[#This Row],[ALMUERZO]]</f>
        <v>0.18402777777777779</v>
      </c>
      <c r="V6" s="7">
        <f>+Tabla53[[#This Row],[TERMINO ACTIVIDADES PM]]-Tabla53[[#This Row],[INICIO ACTIVIDADES PM]]</f>
        <v>2.777777777777779E-2</v>
      </c>
      <c r="W6" s="3">
        <f t="shared" si="1"/>
        <v>0.33333333333333331</v>
      </c>
      <c r="X6" s="3">
        <f t="shared" si="2"/>
        <v>0.35416666666666669</v>
      </c>
      <c r="Y6" s="3">
        <f t="shared" si="3"/>
        <v>0.375</v>
      </c>
      <c r="Z6" s="3">
        <f t="shared" si="4"/>
        <v>0.59375</v>
      </c>
      <c r="AA6" s="3">
        <f t="shared" si="5"/>
        <v>0.61458333333333337</v>
      </c>
      <c r="AB6" s="3">
        <f t="shared" si="6"/>
        <v>0.63541666666666663</v>
      </c>
      <c r="AC6" s="3">
        <f t="shared" si="7"/>
        <v>0.66666666666666663</v>
      </c>
    </row>
    <row r="7" spans="1:29" x14ac:dyDescent="0.3">
      <c r="A7" s="12" t="s">
        <v>96</v>
      </c>
      <c r="B7" s="12" t="s">
        <v>38</v>
      </c>
      <c r="C7" s="4">
        <f>+Tabla5[[#This Row],[FECHA]]</f>
        <v>44911</v>
      </c>
      <c r="D7" s="37">
        <v>0.33680555555555558</v>
      </c>
      <c r="E7" s="37">
        <v>0.35069444444444442</v>
      </c>
      <c r="F7" s="37">
        <v>0.37847222222222227</v>
      </c>
      <c r="G7" s="37">
        <v>0.61111111111111105</v>
      </c>
      <c r="H7" s="37">
        <v>0.61805555555555558</v>
      </c>
      <c r="I7" s="37">
        <v>0.64583333333333337</v>
      </c>
      <c r="J7" s="46">
        <v>0.71527777777777779</v>
      </c>
      <c r="K7" s="47"/>
      <c r="M7" s="5"/>
      <c r="N7" s="5" t="s">
        <v>18</v>
      </c>
      <c r="O7" s="4">
        <f>Tabla53[[#This Row],[FECHA]]</f>
        <v>44911</v>
      </c>
      <c r="P7" s="7">
        <f>D7</f>
        <v>0.33680555555555558</v>
      </c>
      <c r="Q7" s="7">
        <f t="shared" si="0"/>
        <v>1.388888888888884E-2</v>
      </c>
      <c r="R7" s="7">
        <f t="shared" si="0"/>
        <v>2.7777777777777846E-2</v>
      </c>
      <c r="S7" s="7">
        <f t="shared" si="0"/>
        <v>0.23263888888888878</v>
      </c>
      <c r="T7" s="7">
        <f>+Tabla53[[#This Row],[ALMUERZO]]-Tabla53[[#This Row],[TERMINO ACT. AM]]</f>
        <v>6.9444444444445308E-3</v>
      </c>
      <c r="U7" s="7">
        <f>+Tabla53[[#This Row],[INICIO ACTIVIDADES PM]]-Tabla53[[#This Row],[ALMUERZO]]</f>
        <v>2.777777777777779E-2</v>
      </c>
      <c r="V7" s="7">
        <f>+Tabla53[[#This Row],[TERMINO ACTIVIDADES PM]]-Tabla53[[#This Row],[INICIO ACTIVIDADES PM]]</f>
        <v>6.944444444444442E-2</v>
      </c>
      <c r="W7" s="3">
        <f t="shared" si="1"/>
        <v>0.33333333333333331</v>
      </c>
      <c r="X7" s="3">
        <f t="shared" si="2"/>
        <v>0.35416666666666669</v>
      </c>
      <c r="Y7" s="3">
        <f t="shared" si="3"/>
        <v>0.375</v>
      </c>
      <c r="Z7" s="3">
        <f t="shared" si="4"/>
        <v>0.59375</v>
      </c>
      <c r="AA7" s="3">
        <f t="shared" si="5"/>
        <v>0.61458333333333337</v>
      </c>
      <c r="AB7" s="3">
        <f t="shared" si="6"/>
        <v>0.63541666666666663</v>
      </c>
      <c r="AC7" s="3">
        <f t="shared" si="7"/>
        <v>0.66666666666666663</v>
      </c>
    </row>
    <row r="8" spans="1:29" x14ac:dyDescent="0.3">
      <c r="A8" s="11"/>
      <c r="B8" s="11"/>
      <c r="C8" s="11"/>
      <c r="D8" s="11"/>
      <c r="E8" s="11"/>
      <c r="F8" s="11"/>
      <c r="G8" s="11"/>
      <c r="H8" s="56"/>
      <c r="I8" s="56"/>
      <c r="J8" s="56"/>
      <c r="K8" s="38"/>
      <c r="M8" s="5"/>
      <c r="N8" s="5"/>
      <c r="O8" s="4"/>
      <c r="P8" s="7"/>
      <c r="Q8" s="7"/>
      <c r="R8" s="7"/>
      <c r="S8" s="7"/>
      <c r="T8" s="7"/>
      <c r="U8" s="7"/>
      <c r="V8" s="7"/>
      <c r="W8" s="3"/>
      <c r="X8" s="3"/>
      <c r="Y8" s="3"/>
      <c r="Z8" s="3"/>
      <c r="AA8" s="3"/>
      <c r="AB8" s="3"/>
      <c r="AC8" s="3"/>
    </row>
    <row r="9" spans="1:29" x14ac:dyDescent="0.3">
      <c r="A9" s="11"/>
      <c r="B9" s="11"/>
      <c r="C9" s="11"/>
      <c r="D9" s="11"/>
      <c r="E9" s="11"/>
      <c r="F9" s="11"/>
      <c r="G9" s="11"/>
      <c r="H9" s="11"/>
      <c r="I9" s="11"/>
      <c r="J9" s="11"/>
      <c r="K9" s="38"/>
      <c r="M9" s="5"/>
      <c r="N9" s="5"/>
      <c r="O9" s="4"/>
      <c r="T9" s="3"/>
      <c r="V9" s="7"/>
      <c r="W9" s="3"/>
      <c r="X9" s="3"/>
      <c r="Y9" s="3"/>
      <c r="Z9" s="3"/>
      <c r="AA9" s="3"/>
      <c r="AB9" s="3"/>
      <c r="AC9" s="3"/>
    </row>
    <row r="10" spans="1:29" x14ac:dyDescent="0.3">
      <c r="A10" s="40"/>
      <c r="B10" s="40"/>
      <c r="C10" s="40"/>
      <c r="D10" s="40"/>
      <c r="E10" s="40"/>
      <c r="F10" s="40"/>
      <c r="G10" s="40"/>
      <c r="H10" s="40"/>
      <c r="I10" s="40"/>
      <c r="J10" s="40"/>
      <c r="K10" s="38"/>
      <c r="M10" s="18"/>
      <c r="N10" s="5"/>
      <c r="O10" s="4"/>
      <c r="T10" s="3"/>
      <c r="V10" s="7"/>
      <c r="W10" s="3"/>
      <c r="X10" s="3"/>
      <c r="Y10" s="3"/>
      <c r="Z10" s="3"/>
      <c r="AA10" s="3"/>
      <c r="AB10" s="3"/>
      <c r="AC10" s="3"/>
    </row>
    <row r="11" spans="1:29" x14ac:dyDescent="0.3">
      <c r="A11" s="40"/>
      <c r="B11" s="40"/>
      <c r="C11" s="40"/>
      <c r="D11" s="40"/>
      <c r="E11" s="40"/>
      <c r="F11" s="40"/>
      <c r="G11" s="40"/>
      <c r="H11" s="40"/>
      <c r="I11" s="40"/>
      <c r="J11" s="40"/>
      <c r="K11" s="38"/>
      <c r="M11" s="5"/>
      <c r="N11" s="5"/>
      <c r="O11" s="4"/>
      <c r="T11" s="3"/>
      <c r="V11" s="7"/>
      <c r="W11" s="3"/>
      <c r="X11" s="3"/>
      <c r="Y11" s="3"/>
      <c r="Z11" s="3"/>
      <c r="AA11" s="3"/>
      <c r="AB11" s="3"/>
      <c r="AC11" s="3"/>
    </row>
    <row r="12" spans="1:29" x14ac:dyDescent="0.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38"/>
      <c r="M12" s="5"/>
      <c r="N12" s="5"/>
      <c r="O12" s="4"/>
      <c r="T12" s="3"/>
      <c r="V12" s="7"/>
      <c r="W12" s="3"/>
      <c r="X12" s="3"/>
      <c r="Y12" s="3"/>
      <c r="Z12" s="3"/>
      <c r="AA12" s="3"/>
      <c r="AB12" s="3"/>
      <c r="AC12" s="3"/>
    </row>
    <row r="13" spans="1:29" ht="16.2" thickBot="1" x14ac:dyDescent="0.35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56"/>
      <c r="M13" s="5"/>
      <c r="N13" s="5"/>
      <c r="O13" s="4"/>
      <c r="T13" s="3"/>
      <c r="V13" s="7"/>
      <c r="W13" s="3"/>
      <c r="X13" s="3"/>
      <c r="Y13" s="3"/>
      <c r="Z13" s="3"/>
      <c r="AA13" s="3"/>
      <c r="AB13" s="3"/>
      <c r="AC13" s="3"/>
    </row>
    <row r="14" spans="1:29" ht="16.2" thickBot="1" x14ac:dyDescent="0.35">
      <c r="A14" s="22"/>
      <c r="B14" s="22"/>
      <c r="C14" s="22"/>
      <c r="D14" s="22"/>
      <c r="E14" s="22"/>
      <c r="F14" s="23"/>
      <c r="G14" s="24" t="s">
        <v>24</v>
      </c>
      <c r="H14" s="24"/>
      <c r="I14" s="28"/>
      <c r="J14" s="28"/>
      <c r="K14" s="56"/>
      <c r="M14" s="5"/>
      <c r="N14" s="5"/>
      <c r="O14" s="4"/>
      <c r="T14" s="3"/>
      <c r="V14" s="7"/>
      <c r="W14" s="3"/>
      <c r="X14" s="3"/>
      <c r="Y14" s="3"/>
      <c r="Z14" s="3"/>
      <c r="AA14" s="3"/>
      <c r="AB14" s="3"/>
      <c r="AC14" s="3"/>
    </row>
    <row r="15" spans="1:29" ht="16.2" thickBot="1" x14ac:dyDescent="0.35">
      <c r="A15" s="22"/>
      <c r="B15" s="22"/>
      <c r="C15" s="22"/>
      <c r="D15" s="22"/>
      <c r="E15" s="22"/>
      <c r="F15" s="26" t="s">
        <v>29</v>
      </c>
      <c r="G15" s="26" t="s">
        <v>78</v>
      </c>
      <c r="H15" s="26"/>
      <c r="I15" s="28"/>
      <c r="J15" s="28"/>
      <c r="K15" s="56"/>
      <c r="T15" s="3"/>
    </row>
    <row r="16" spans="1:29" ht="16.2" thickBot="1" x14ac:dyDescent="0.35">
      <c r="A16" s="22"/>
      <c r="B16" s="22"/>
      <c r="C16" s="22"/>
      <c r="D16" s="22"/>
      <c r="E16" s="22"/>
      <c r="F16" s="23" t="s">
        <v>25</v>
      </c>
      <c r="G16" s="23">
        <f>+(G3-F3)+(J3-I3)</f>
        <v>0.25694444444444442</v>
      </c>
      <c r="H16" s="23"/>
      <c r="I16" s="28"/>
      <c r="J16" s="28"/>
      <c r="K16" s="58"/>
    </row>
    <row r="17" spans="1:20" ht="16.2" thickBot="1" x14ac:dyDescent="0.35">
      <c r="A17" s="22"/>
      <c r="B17" s="22"/>
      <c r="C17" s="22"/>
      <c r="D17" s="22"/>
      <c r="E17" s="22"/>
      <c r="F17" s="23" t="s">
        <v>26</v>
      </c>
      <c r="G17" s="23">
        <f>+(G4-F4)+(J4-I4)</f>
        <v>0.25555555555555559</v>
      </c>
      <c r="H17" s="23"/>
      <c r="I17" s="28"/>
      <c r="J17" s="28"/>
      <c r="K17" s="58"/>
    </row>
    <row r="18" spans="1:20" ht="16.2" thickBot="1" x14ac:dyDescent="0.35">
      <c r="A18" s="22"/>
      <c r="B18" s="22"/>
      <c r="C18" s="22"/>
      <c r="D18" s="22"/>
      <c r="E18" s="22"/>
      <c r="F18" s="23" t="s">
        <v>27</v>
      </c>
      <c r="G18" s="23">
        <f>+(G5-F5)+(J5-I5)</f>
        <v>0.24652777777777779</v>
      </c>
      <c r="H18" s="23"/>
      <c r="I18" s="28"/>
      <c r="J18" s="28"/>
      <c r="K18" s="58"/>
    </row>
    <row r="19" spans="1:20" ht="16.2" thickBot="1" x14ac:dyDescent="0.35">
      <c r="A19" s="22"/>
      <c r="B19" s="22"/>
      <c r="C19" s="22"/>
      <c r="D19" s="22"/>
      <c r="E19" s="22"/>
      <c r="F19" s="23" t="s">
        <v>28</v>
      </c>
      <c r="G19" s="23">
        <f>+(G6-F6)+(J6-I6)</f>
        <v>0.2326388888888889</v>
      </c>
      <c r="H19" s="23"/>
      <c r="I19" s="28"/>
      <c r="J19" s="28"/>
      <c r="K19" s="58"/>
    </row>
    <row r="20" spans="1:20" ht="16.2" thickBot="1" x14ac:dyDescent="0.35">
      <c r="A20" s="22"/>
      <c r="B20" s="22"/>
      <c r="C20" s="22"/>
      <c r="D20" s="22"/>
      <c r="E20" s="22"/>
      <c r="F20" s="23" t="s">
        <v>50</v>
      </c>
      <c r="G20" s="23">
        <f>+(G7-F7)+(J7-I7)</f>
        <v>0.3020833333333332</v>
      </c>
      <c r="H20" s="23"/>
      <c r="I20" s="28"/>
      <c r="J20" s="28"/>
      <c r="K20" s="58"/>
    </row>
    <row r="21" spans="1:20" ht="16.2" thickBot="1" x14ac:dyDescent="0.35">
      <c r="A21" s="22"/>
      <c r="B21" s="22"/>
      <c r="C21" s="22"/>
      <c r="D21" s="22"/>
      <c r="E21" s="22"/>
      <c r="F21" s="30" t="s">
        <v>40</v>
      </c>
      <c r="G21" s="30">
        <f>+AVERAGEIF(G16:G20, "&lt;&gt; 0")</f>
        <v>0.25874999999999998</v>
      </c>
      <c r="H21" s="30"/>
      <c r="I21" s="28"/>
      <c r="J21" s="28"/>
      <c r="K21" s="58"/>
    </row>
    <row r="22" spans="1:20" ht="16.2" thickBot="1" x14ac:dyDescent="0.35">
      <c r="A22" s="22"/>
      <c r="B22" s="22"/>
      <c r="C22" s="22"/>
      <c r="D22" s="22"/>
      <c r="E22" s="22"/>
      <c r="F22" s="25" t="s">
        <v>0</v>
      </c>
      <c r="G22" s="25">
        <v>0.25</v>
      </c>
      <c r="H22" s="25"/>
      <c r="I22" s="28"/>
      <c r="J22" s="28"/>
    </row>
    <row r="23" spans="1:20" ht="16.2" thickBot="1" x14ac:dyDescent="0.35">
      <c r="A23" s="41"/>
      <c r="B23" s="41"/>
      <c r="C23" s="42"/>
      <c r="D23" s="43"/>
      <c r="E23" s="43"/>
      <c r="F23" s="30" t="s">
        <v>41</v>
      </c>
      <c r="G23" s="44">
        <f>G21/G22</f>
        <v>1.0349999999999999</v>
      </c>
      <c r="H23" s="44"/>
      <c r="I23" s="43"/>
      <c r="J23" s="28"/>
    </row>
    <row r="24" spans="1:20" x14ac:dyDescent="0.3">
      <c r="E24" s="3"/>
      <c r="F24" s="3"/>
      <c r="I24" s="28"/>
      <c r="J24" s="28"/>
    </row>
    <row r="25" spans="1:20" x14ac:dyDescent="0.3">
      <c r="T25" s="3"/>
    </row>
    <row r="26" spans="1:20" x14ac:dyDescent="0.3">
      <c r="T26" s="3"/>
    </row>
    <row r="27" spans="1:20" ht="15.6" customHeight="1" x14ac:dyDescent="0.3">
      <c r="J27" s="181" t="s">
        <v>105</v>
      </c>
      <c r="K27" s="182" t="s">
        <v>103</v>
      </c>
      <c r="T27" s="3"/>
    </row>
    <row r="28" spans="1:20" ht="15.6" customHeight="1" x14ac:dyDescent="0.3">
      <c r="J28" s="181"/>
      <c r="K28" s="183"/>
      <c r="T28" s="3"/>
    </row>
    <row r="29" spans="1:20" ht="15.6" customHeight="1" x14ac:dyDescent="0.3">
      <c r="J29" s="181"/>
      <c r="K29" s="183"/>
      <c r="T29" s="3"/>
    </row>
    <row r="30" spans="1:20" ht="15.6" customHeight="1" x14ac:dyDescent="0.3">
      <c r="J30" s="181"/>
      <c r="K30" s="184"/>
      <c r="T30" s="3"/>
    </row>
    <row r="31" spans="1:20" x14ac:dyDescent="0.3">
      <c r="T31" s="3"/>
    </row>
    <row r="32" spans="1:20" x14ac:dyDescent="0.3">
      <c r="T32" s="3"/>
    </row>
    <row r="33" spans="20:20" x14ac:dyDescent="0.3">
      <c r="T33" s="3"/>
    </row>
    <row r="34" spans="20:20" x14ac:dyDescent="0.3">
      <c r="T34" s="3"/>
    </row>
    <row r="35" spans="20:20" x14ac:dyDescent="0.3">
      <c r="T35" s="3"/>
    </row>
    <row r="36" spans="20:20" x14ac:dyDescent="0.3">
      <c r="T36" s="3"/>
    </row>
    <row r="37" spans="20:20" x14ac:dyDescent="0.3">
      <c r="T37" s="3"/>
    </row>
    <row r="38" spans="20:20" x14ac:dyDescent="0.3">
      <c r="T38" s="3"/>
    </row>
    <row r="39" spans="20:20" x14ac:dyDescent="0.3">
      <c r="T39" s="3"/>
    </row>
    <row r="40" spans="20:20" x14ac:dyDescent="0.3">
      <c r="T40" s="3"/>
    </row>
    <row r="41" spans="20:20" x14ac:dyDescent="0.3">
      <c r="T41" s="3"/>
    </row>
    <row r="42" spans="20:20" x14ac:dyDescent="0.3">
      <c r="T42" s="3"/>
    </row>
    <row r="43" spans="20:20" x14ac:dyDescent="0.3">
      <c r="T43" s="3"/>
    </row>
    <row r="44" spans="20:20" x14ac:dyDescent="0.3">
      <c r="T44" s="3"/>
    </row>
    <row r="45" spans="20:20" x14ac:dyDescent="0.3">
      <c r="T45" s="3"/>
    </row>
    <row r="46" spans="20:20" x14ac:dyDescent="0.3">
      <c r="T46" s="3"/>
    </row>
    <row r="47" spans="20:20" x14ac:dyDescent="0.3">
      <c r="T47" s="3"/>
    </row>
    <row r="48" spans="20:20" x14ac:dyDescent="0.3">
      <c r="T48" s="3"/>
    </row>
    <row r="49" spans="20:20" x14ac:dyDescent="0.3">
      <c r="T49" s="3"/>
    </row>
    <row r="50" spans="20:20" x14ac:dyDescent="0.3">
      <c r="T50" s="3"/>
    </row>
    <row r="51" spans="20:20" x14ac:dyDescent="0.3">
      <c r="T51" s="3"/>
    </row>
    <row r="52" spans="20:20" x14ac:dyDescent="0.3">
      <c r="T52" s="3"/>
    </row>
    <row r="53" spans="20:20" x14ac:dyDescent="0.3">
      <c r="T53" s="3"/>
    </row>
    <row r="54" spans="20:20" x14ac:dyDescent="0.3">
      <c r="T54" s="3"/>
    </row>
    <row r="55" spans="20:20" x14ac:dyDescent="0.3">
      <c r="T55" s="3"/>
    </row>
    <row r="56" spans="20:20" x14ac:dyDescent="0.3">
      <c r="T56" s="3"/>
    </row>
    <row r="57" spans="20:20" x14ac:dyDescent="0.3">
      <c r="T57" s="3"/>
    </row>
    <row r="58" spans="20:20" x14ac:dyDescent="0.3">
      <c r="T58" s="3"/>
    </row>
    <row r="59" spans="20:20" x14ac:dyDescent="0.3">
      <c r="T59" s="3"/>
    </row>
    <row r="60" spans="20:20" x14ac:dyDescent="0.3">
      <c r="T60" s="3"/>
    </row>
    <row r="61" spans="20:20" x14ac:dyDescent="0.3">
      <c r="T61" s="3"/>
    </row>
    <row r="62" spans="20:20" x14ac:dyDescent="0.3">
      <c r="T62" s="3"/>
    </row>
    <row r="63" spans="20:20" x14ac:dyDescent="0.3">
      <c r="T63" s="3"/>
    </row>
    <row r="64" spans="20:20" x14ac:dyDescent="0.3">
      <c r="T64" s="3"/>
    </row>
    <row r="65" spans="13:22" x14ac:dyDescent="0.3">
      <c r="T65" s="3"/>
    </row>
    <row r="66" spans="13:22" x14ac:dyDescent="0.3">
      <c r="T66" s="3"/>
    </row>
    <row r="67" spans="13:22" x14ac:dyDescent="0.3">
      <c r="T67" s="3"/>
    </row>
    <row r="68" spans="13:22" x14ac:dyDescent="0.3">
      <c r="T68" s="3"/>
    </row>
    <row r="69" spans="13:22" x14ac:dyDescent="0.3">
      <c r="T69" s="3"/>
    </row>
    <row r="70" spans="13:22" x14ac:dyDescent="0.3">
      <c r="T70" s="3"/>
    </row>
    <row r="71" spans="13:22" x14ac:dyDescent="0.3">
      <c r="T71" s="3"/>
    </row>
    <row r="72" spans="13:22" x14ac:dyDescent="0.3">
      <c r="M72" s="22"/>
      <c r="N72" s="22"/>
      <c r="O72" s="22"/>
      <c r="P72" s="22"/>
      <c r="Q72" s="22"/>
      <c r="R72" s="22"/>
      <c r="S72" s="22"/>
      <c r="T72" s="22"/>
      <c r="U72" s="22"/>
      <c r="V72" s="22"/>
    </row>
  </sheetData>
  <mergeCells count="2">
    <mergeCell ref="J27:J30"/>
    <mergeCell ref="K27:K30"/>
  </mergeCells>
  <pageMargins left="0.7" right="0.7" top="0.75" bottom="0.75" header="0.3" footer="0.3"/>
  <drawing r:id="rId1"/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3"/>
  <sheetViews>
    <sheetView zoomScale="60" zoomScaleNormal="60" workbookViewId="0">
      <selection activeCell="F8" sqref="F8"/>
    </sheetView>
  </sheetViews>
  <sheetFormatPr baseColWidth="10" defaultRowHeight="15.6" x14ac:dyDescent="0.3"/>
  <cols>
    <col min="1" max="1" width="11.8984375" customWidth="1"/>
    <col min="2" max="2" width="13.3984375" customWidth="1"/>
    <col min="6" max="6" width="15.5" customWidth="1"/>
    <col min="7" max="7" width="12.5" customWidth="1"/>
    <col min="11" max="11" width="13" customWidth="1"/>
  </cols>
  <sheetData>
    <row r="1" spans="1:29" x14ac:dyDescent="0.3">
      <c r="C1" s="31" t="s">
        <v>0</v>
      </c>
      <c r="D1" s="32">
        <v>0.33333333333333331</v>
      </c>
      <c r="E1" s="32">
        <v>0.35416666666666669</v>
      </c>
      <c r="F1" s="32">
        <v>0.375</v>
      </c>
      <c r="G1" s="32">
        <v>0.59375</v>
      </c>
      <c r="H1" s="32">
        <v>0.61458333333333337</v>
      </c>
      <c r="I1" s="32">
        <v>0.63541666666666663</v>
      </c>
      <c r="J1" s="32">
        <v>0.66666666666666663</v>
      </c>
    </row>
    <row r="2" spans="1:29" ht="62.4" x14ac:dyDescent="0.3">
      <c r="A2" s="13" t="s">
        <v>13</v>
      </c>
      <c r="B2" s="27" t="s">
        <v>39</v>
      </c>
      <c r="C2" s="14" t="s">
        <v>9</v>
      </c>
      <c r="D2" s="15" t="s">
        <v>1</v>
      </c>
      <c r="E2" s="15" t="s">
        <v>20</v>
      </c>
      <c r="F2" s="16" t="s">
        <v>42</v>
      </c>
      <c r="G2" s="16" t="s">
        <v>43</v>
      </c>
      <c r="H2" s="16" t="s">
        <v>21</v>
      </c>
      <c r="I2" s="17" t="s">
        <v>44</v>
      </c>
      <c r="J2" s="16" t="s">
        <v>45</v>
      </c>
      <c r="K2" s="35" t="s">
        <v>36</v>
      </c>
      <c r="M2" s="1" t="s">
        <v>11</v>
      </c>
      <c r="N2" s="1" t="s">
        <v>14</v>
      </c>
      <c r="O2" s="1" t="s">
        <v>12</v>
      </c>
      <c r="P2" s="8" t="s">
        <v>10</v>
      </c>
      <c r="Q2" s="6" t="s">
        <v>35</v>
      </c>
      <c r="R2" s="9" t="s">
        <v>34</v>
      </c>
      <c r="S2" s="6" t="s">
        <v>23</v>
      </c>
      <c r="T2" s="16" t="s">
        <v>53</v>
      </c>
      <c r="U2" s="6" t="s">
        <v>19</v>
      </c>
      <c r="V2" s="21" t="s">
        <v>22</v>
      </c>
      <c r="W2" s="19" t="s">
        <v>30</v>
      </c>
      <c r="X2" s="20" t="s">
        <v>31</v>
      </c>
      <c r="Y2" s="20" t="s">
        <v>32</v>
      </c>
      <c r="Z2" s="20" t="s">
        <v>33</v>
      </c>
      <c r="AA2" s="19" t="s">
        <v>46</v>
      </c>
      <c r="AB2" s="19" t="s">
        <v>47</v>
      </c>
      <c r="AC2" s="19" t="s">
        <v>48</v>
      </c>
    </row>
    <row r="3" spans="1:29" x14ac:dyDescent="0.3">
      <c r="A3" s="12" t="s">
        <v>96</v>
      </c>
      <c r="B3" s="12" t="s">
        <v>37</v>
      </c>
      <c r="C3" s="4">
        <f>+Tabla5[[#This Row],[FECHA]]</f>
        <v>44907</v>
      </c>
      <c r="D3" s="37">
        <v>0.64583333333333337</v>
      </c>
      <c r="E3" s="37">
        <v>0.68055555555555547</v>
      </c>
      <c r="F3" s="37">
        <v>0.70000000000000007</v>
      </c>
      <c r="G3" s="37">
        <v>0.88888888888888884</v>
      </c>
      <c r="H3" s="37">
        <v>0.89583333333333337</v>
      </c>
      <c r="I3" s="37">
        <v>0.92708333333333337</v>
      </c>
      <c r="J3" s="46">
        <v>0.98263888888888884</v>
      </c>
      <c r="K3" s="81" t="s">
        <v>94</v>
      </c>
      <c r="L3" s="53"/>
      <c r="M3" s="5"/>
      <c r="N3" s="57" t="s">
        <v>15</v>
      </c>
      <c r="O3" s="4">
        <f>Tabla53839[[#This Row],[FECHA]]</f>
        <v>44907</v>
      </c>
      <c r="P3" s="7">
        <f>D3</f>
        <v>0.64583333333333337</v>
      </c>
      <c r="Q3" s="7">
        <f>E3-D3</f>
        <v>3.4722222222222099E-2</v>
      </c>
      <c r="R3" s="7">
        <f>F3-E3</f>
        <v>1.9444444444444597E-2</v>
      </c>
      <c r="S3" s="7">
        <f>G3-F3</f>
        <v>0.18888888888888877</v>
      </c>
      <c r="T3" s="7">
        <f>+Tabla53839[[#This Row],[ALMUERZO]]-Tabla53839[[#This Row],[TERMINO ACT. AM]]</f>
        <v>6.9444444444445308E-3</v>
      </c>
      <c r="U3" s="7">
        <f>+Tabla53839[[#This Row],[INICIO ACTIVIDADES PM]]-Tabla53839[[#This Row],[ALMUERZO]]</f>
        <v>3.125E-2</v>
      </c>
      <c r="V3" s="7">
        <f>+Tabla53839[[#This Row],[TERMINO ACTIVIDADES PM]]-Tabla53839[[#This Row],[INICIO ACTIVIDADES PM]]</f>
        <v>5.5555555555555469E-2</v>
      </c>
      <c r="W3" s="3">
        <f>+$D$1</f>
        <v>0.33333333333333331</v>
      </c>
      <c r="X3" s="3">
        <f>+$E$1</f>
        <v>0.35416666666666669</v>
      </c>
      <c r="Y3" s="3">
        <f>+$F$1</f>
        <v>0.375</v>
      </c>
      <c r="Z3" s="3">
        <f>+$G$1</f>
        <v>0.59375</v>
      </c>
      <c r="AA3" s="3">
        <f>+$H$1</f>
        <v>0.61458333333333337</v>
      </c>
      <c r="AB3" s="3">
        <f>+$I$1</f>
        <v>0.63541666666666663</v>
      </c>
      <c r="AC3" s="3">
        <f>+$J$1</f>
        <v>0.66666666666666663</v>
      </c>
    </row>
    <row r="4" spans="1:29" x14ac:dyDescent="0.3">
      <c r="A4" s="12" t="s">
        <v>96</v>
      </c>
      <c r="B4" s="12" t="s">
        <v>26</v>
      </c>
      <c r="C4" s="4">
        <f>+Tabla5[[#This Row],[FECHA]]</f>
        <v>44908</v>
      </c>
      <c r="D4" s="37">
        <v>0.64583333333333337</v>
      </c>
      <c r="E4" s="37">
        <v>0.68402777777777779</v>
      </c>
      <c r="F4" s="37">
        <v>0.69930555555555562</v>
      </c>
      <c r="G4" s="37">
        <v>0.89583333333333337</v>
      </c>
      <c r="H4" s="37">
        <v>0.90277777777777779</v>
      </c>
      <c r="I4" s="37">
        <v>0.93402777777777779</v>
      </c>
      <c r="J4" s="46">
        <v>0.97916666666666663</v>
      </c>
      <c r="K4" s="81" t="s">
        <v>94</v>
      </c>
      <c r="M4" s="5"/>
      <c r="N4" s="5" t="s">
        <v>16</v>
      </c>
      <c r="O4" s="4">
        <f>Tabla53839[[#This Row],[FECHA]]</f>
        <v>44908</v>
      </c>
      <c r="P4" s="7">
        <f>D4</f>
        <v>0.64583333333333337</v>
      </c>
      <c r="Q4" s="7">
        <f t="shared" ref="Q4:S7" si="0">E4-D4</f>
        <v>3.819444444444442E-2</v>
      </c>
      <c r="R4" s="7">
        <f t="shared" si="0"/>
        <v>1.5277777777777835E-2</v>
      </c>
      <c r="S4" s="7">
        <f t="shared" si="0"/>
        <v>0.19652777777777775</v>
      </c>
      <c r="T4" s="7">
        <f>+Tabla53839[[#This Row],[ALMUERZO]]-Tabla53839[[#This Row],[TERMINO ACT. AM]]</f>
        <v>6.9444444444444198E-3</v>
      </c>
      <c r="U4" s="7">
        <f>+Tabla53839[[#This Row],[INICIO ACTIVIDADES PM]]-Tabla53839[[#This Row],[ALMUERZO]]</f>
        <v>3.125E-2</v>
      </c>
      <c r="V4" s="7">
        <f>+Tabla53839[[#This Row],[TERMINO ACTIVIDADES PM]]-Tabla53839[[#This Row],[INICIO ACTIVIDADES PM]]</f>
        <v>4.513888888888884E-2</v>
      </c>
      <c r="W4" s="3">
        <f t="shared" ref="W4:W7" si="1">+$D$1</f>
        <v>0.33333333333333331</v>
      </c>
      <c r="X4" s="3">
        <f t="shared" ref="X4:X7" si="2">+$E$1</f>
        <v>0.35416666666666669</v>
      </c>
      <c r="Y4" s="3">
        <f t="shared" ref="Y4:Y7" si="3">+$F$1</f>
        <v>0.375</v>
      </c>
      <c r="Z4" s="3">
        <f t="shared" ref="Z4:Z7" si="4">+$G$1</f>
        <v>0.59375</v>
      </c>
      <c r="AA4" s="3">
        <f t="shared" ref="AA4:AA7" si="5">+$H$1</f>
        <v>0.61458333333333337</v>
      </c>
      <c r="AB4" s="3">
        <f t="shared" ref="AB4:AB7" si="6">+$I$1</f>
        <v>0.63541666666666663</v>
      </c>
      <c r="AC4" s="3">
        <f t="shared" ref="AC4:AC7" si="7">+$J$1</f>
        <v>0.66666666666666663</v>
      </c>
    </row>
    <row r="5" spans="1:29" x14ac:dyDescent="0.3">
      <c r="A5" s="12" t="s">
        <v>96</v>
      </c>
      <c r="B5" s="12" t="s">
        <v>27</v>
      </c>
      <c r="C5" s="4">
        <f>+Tabla5[[#This Row],[FECHA]]</f>
        <v>44909</v>
      </c>
      <c r="D5" s="37">
        <v>0.64583333333333337</v>
      </c>
      <c r="E5" s="37">
        <v>0.6875</v>
      </c>
      <c r="F5" s="37">
        <v>0.69652777777777775</v>
      </c>
      <c r="G5" s="37">
        <v>0.88888888888888884</v>
      </c>
      <c r="H5" s="37">
        <v>0.89583333333333337</v>
      </c>
      <c r="I5" s="37">
        <v>0.92708333333333337</v>
      </c>
      <c r="J5" s="46">
        <v>0.98611111111111116</v>
      </c>
      <c r="K5" s="81" t="s">
        <v>94</v>
      </c>
      <c r="M5" s="5"/>
      <c r="N5" s="5" t="s">
        <v>16</v>
      </c>
      <c r="O5" s="4">
        <f>Tabla53839[[#This Row],[FECHA]]</f>
        <v>44909</v>
      </c>
      <c r="P5" s="7">
        <f>D5</f>
        <v>0.64583333333333337</v>
      </c>
      <c r="Q5" s="7">
        <f t="shared" si="0"/>
        <v>4.166666666666663E-2</v>
      </c>
      <c r="R5" s="7">
        <f t="shared" si="0"/>
        <v>9.0277777777777457E-3</v>
      </c>
      <c r="S5" s="7">
        <f t="shared" si="0"/>
        <v>0.19236111111111109</v>
      </c>
      <c r="T5" s="7">
        <f>+Tabla53839[[#This Row],[ALMUERZO]]-Tabla53839[[#This Row],[TERMINO ACT. AM]]</f>
        <v>6.9444444444445308E-3</v>
      </c>
      <c r="U5" s="7">
        <f>+Tabla53839[[#This Row],[INICIO ACTIVIDADES PM]]-Tabla53839[[#This Row],[ALMUERZO]]</f>
        <v>3.125E-2</v>
      </c>
      <c r="V5" s="7">
        <f>+Tabla53839[[#This Row],[TERMINO ACTIVIDADES PM]]-Tabla53839[[#This Row],[INICIO ACTIVIDADES PM]]</f>
        <v>5.902777777777779E-2</v>
      </c>
      <c r="W5" s="3">
        <f t="shared" si="1"/>
        <v>0.33333333333333331</v>
      </c>
      <c r="X5" s="3">
        <f t="shared" si="2"/>
        <v>0.35416666666666669</v>
      </c>
      <c r="Y5" s="3">
        <f t="shared" si="3"/>
        <v>0.375</v>
      </c>
      <c r="Z5" s="3">
        <f t="shared" si="4"/>
        <v>0.59375</v>
      </c>
      <c r="AA5" s="3">
        <f t="shared" si="5"/>
        <v>0.61458333333333337</v>
      </c>
      <c r="AB5" s="3">
        <f t="shared" si="6"/>
        <v>0.63541666666666663</v>
      </c>
      <c r="AC5" s="3">
        <f t="shared" si="7"/>
        <v>0.66666666666666663</v>
      </c>
    </row>
    <row r="6" spans="1:29" x14ac:dyDescent="0.3">
      <c r="A6" s="12" t="s">
        <v>96</v>
      </c>
      <c r="B6" s="12" t="s">
        <v>28</v>
      </c>
      <c r="C6" s="4">
        <f>+Tabla5[[#This Row],[FECHA]]</f>
        <v>44910</v>
      </c>
      <c r="D6" s="37">
        <v>0.64583333333333337</v>
      </c>
      <c r="E6" s="37">
        <v>0.68055555555555547</v>
      </c>
      <c r="F6" s="37">
        <v>0.68958333333333333</v>
      </c>
      <c r="G6" s="37">
        <v>0.90277777777777779</v>
      </c>
      <c r="H6" s="37">
        <v>0.90972222222222221</v>
      </c>
      <c r="I6" s="37">
        <v>0.93402777777777779</v>
      </c>
      <c r="J6" s="46">
        <v>0.98263888888888884</v>
      </c>
      <c r="K6" s="81" t="s">
        <v>94</v>
      </c>
      <c r="M6" s="5"/>
      <c r="N6" s="5" t="s">
        <v>17</v>
      </c>
      <c r="O6" s="4">
        <f>Tabla53839[[#This Row],[FECHA]]</f>
        <v>44910</v>
      </c>
      <c r="P6" s="7">
        <f>D6</f>
        <v>0.64583333333333337</v>
      </c>
      <c r="Q6" s="7">
        <f t="shared" si="0"/>
        <v>3.4722222222222099E-2</v>
      </c>
      <c r="R6" s="7">
        <f t="shared" si="0"/>
        <v>9.0277777777778567E-3</v>
      </c>
      <c r="S6" s="7">
        <f t="shared" si="0"/>
        <v>0.21319444444444446</v>
      </c>
      <c r="T6" s="7">
        <f>+Tabla53839[[#This Row],[ALMUERZO]]-Tabla53839[[#This Row],[TERMINO ACT. AM]]</f>
        <v>6.9444444444444198E-3</v>
      </c>
      <c r="U6" s="7">
        <f>+Tabla53839[[#This Row],[INICIO ACTIVIDADES PM]]-Tabla53839[[#This Row],[ALMUERZO]]</f>
        <v>2.430555555555558E-2</v>
      </c>
      <c r="V6" s="7">
        <f>+Tabla53839[[#This Row],[TERMINO ACTIVIDADES PM]]-Tabla53839[[#This Row],[INICIO ACTIVIDADES PM]]</f>
        <v>4.8611111111111049E-2</v>
      </c>
      <c r="W6" s="3">
        <f t="shared" si="1"/>
        <v>0.33333333333333331</v>
      </c>
      <c r="X6" s="3">
        <f t="shared" si="2"/>
        <v>0.35416666666666669</v>
      </c>
      <c r="Y6" s="3">
        <f t="shared" si="3"/>
        <v>0.375</v>
      </c>
      <c r="Z6" s="3">
        <f t="shared" si="4"/>
        <v>0.59375</v>
      </c>
      <c r="AA6" s="3">
        <f t="shared" si="5"/>
        <v>0.61458333333333337</v>
      </c>
      <c r="AB6" s="3">
        <f t="shared" si="6"/>
        <v>0.63541666666666663</v>
      </c>
      <c r="AC6" s="3">
        <f t="shared" si="7"/>
        <v>0.66666666666666663</v>
      </c>
    </row>
    <row r="7" spans="1:29" x14ac:dyDescent="0.3">
      <c r="A7" s="12" t="s">
        <v>96</v>
      </c>
      <c r="B7" s="12" t="s">
        <v>38</v>
      </c>
      <c r="C7" s="4">
        <f>+Tabla5[[#This Row],[FECHA]]</f>
        <v>44911</v>
      </c>
      <c r="D7" s="37">
        <v>0.64583333333333337</v>
      </c>
      <c r="E7" s="37">
        <v>0.69097222222222221</v>
      </c>
      <c r="F7" s="37">
        <v>0.70208333333333339</v>
      </c>
      <c r="G7" s="37">
        <v>0.90277777777777779</v>
      </c>
      <c r="H7" s="37">
        <v>0.90625</v>
      </c>
      <c r="I7" s="37">
        <v>0.93402777777777779</v>
      </c>
      <c r="J7" s="46">
        <v>0.97916666666666663</v>
      </c>
      <c r="K7" s="81" t="s">
        <v>94</v>
      </c>
      <c r="M7" s="5"/>
      <c r="N7" s="5" t="s">
        <v>18</v>
      </c>
      <c r="O7" s="4">
        <f>Tabla53839[[#This Row],[FECHA]]</f>
        <v>44911</v>
      </c>
      <c r="P7" s="7">
        <f>D7</f>
        <v>0.64583333333333337</v>
      </c>
      <c r="Q7" s="7">
        <f t="shared" si="0"/>
        <v>4.513888888888884E-2</v>
      </c>
      <c r="R7" s="7">
        <f t="shared" si="0"/>
        <v>1.1111111111111183E-2</v>
      </c>
      <c r="S7" s="7">
        <f t="shared" si="0"/>
        <v>0.2006944444444444</v>
      </c>
      <c r="T7" s="7">
        <f>+Tabla53839[[#This Row],[ALMUERZO]]-Tabla53839[[#This Row],[TERMINO ACT. AM]]</f>
        <v>3.4722222222222099E-3</v>
      </c>
      <c r="U7" s="7">
        <f>+Tabla53839[[#This Row],[INICIO ACTIVIDADES PM]]-Tabla53839[[#This Row],[ALMUERZO]]</f>
        <v>2.777777777777779E-2</v>
      </c>
      <c r="V7" s="7">
        <f>+Tabla53839[[#This Row],[TERMINO ACTIVIDADES PM]]-Tabla53839[[#This Row],[INICIO ACTIVIDADES PM]]</f>
        <v>4.513888888888884E-2</v>
      </c>
      <c r="W7" s="3">
        <f t="shared" si="1"/>
        <v>0.33333333333333331</v>
      </c>
      <c r="X7" s="3">
        <f t="shared" si="2"/>
        <v>0.35416666666666669</v>
      </c>
      <c r="Y7" s="3">
        <f t="shared" si="3"/>
        <v>0.375</v>
      </c>
      <c r="Z7" s="3">
        <f t="shared" si="4"/>
        <v>0.59375</v>
      </c>
      <c r="AA7" s="3">
        <f t="shared" si="5"/>
        <v>0.61458333333333337</v>
      </c>
      <c r="AB7" s="3">
        <f t="shared" si="6"/>
        <v>0.63541666666666663</v>
      </c>
      <c r="AC7" s="3">
        <f t="shared" si="7"/>
        <v>0.66666666666666663</v>
      </c>
    </row>
    <row r="8" spans="1:29" x14ac:dyDescent="0.3">
      <c r="A8" s="11"/>
      <c r="B8" s="11"/>
      <c r="C8" s="4"/>
      <c r="D8" s="39"/>
      <c r="E8" s="56"/>
      <c r="F8" s="56"/>
      <c r="G8" s="56"/>
      <c r="H8" s="56"/>
      <c r="I8" s="56"/>
      <c r="J8" s="56"/>
      <c r="K8" s="38"/>
      <c r="M8" s="5"/>
      <c r="N8" s="5"/>
      <c r="O8" s="4"/>
      <c r="P8" s="7"/>
      <c r="Q8" s="7"/>
      <c r="R8" s="7"/>
      <c r="S8" s="7"/>
      <c r="T8" s="7"/>
      <c r="U8" s="7"/>
      <c r="V8" s="7"/>
      <c r="W8" s="3"/>
      <c r="X8" s="3"/>
      <c r="Y8" s="3"/>
      <c r="Z8" s="3"/>
      <c r="AA8" s="3"/>
      <c r="AB8" s="3"/>
      <c r="AC8" s="3"/>
    </row>
    <row r="9" spans="1:29" x14ac:dyDescent="0.3">
      <c r="A9" s="11"/>
      <c r="B9" s="11"/>
      <c r="C9" s="11"/>
      <c r="D9" s="37"/>
      <c r="E9" s="37"/>
      <c r="F9" s="37"/>
      <c r="G9" s="37"/>
      <c r="H9" s="37"/>
      <c r="I9" s="37"/>
      <c r="J9" s="46"/>
      <c r="K9" s="38"/>
      <c r="M9" s="5">
        <f>Tabla53839[[#This Row],[Columna1]]</f>
        <v>0</v>
      </c>
      <c r="N9" s="5"/>
      <c r="O9" s="4"/>
      <c r="AA9" s="3"/>
      <c r="AB9" s="3"/>
      <c r="AC9" s="3"/>
    </row>
    <row r="10" spans="1:29" x14ac:dyDescent="0.3">
      <c r="A10" s="40"/>
      <c r="B10" s="40"/>
      <c r="C10" s="40"/>
      <c r="D10" s="37"/>
      <c r="E10" s="37"/>
      <c r="F10" s="37"/>
      <c r="G10" s="37"/>
      <c r="H10" s="37"/>
      <c r="I10" s="37"/>
      <c r="J10" s="46"/>
      <c r="K10" s="38"/>
      <c r="M10" s="18"/>
      <c r="N10" s="5"/>
      <c r="O10" s="4"/>
      <c r="AA10" s="3"/>
      <c r="AB10" s="3"/>
      <c r="AC10" s="3"/>
    </row>
    <row r="11" spans="1:29" x14ac:dyDescent="0.3">
      <c r="A11" s="40"/>
      <c r="B11" s="40"/>
      <c r="C11" s="40"/>
      <c r="D11" s="37"/>
      <c r="E11" s="37"/>
      <c r="F11" s="37"/>
      <c r="G11" s="37"/>
      <c r="H11" s="37"/>
      <c r="I11" s="37"/>
      <c r="J11" s="46"/>
      <c r="K11" s="38"/>
      <c r="M11" s="5"/>
      <c r="N11" s="5"/>
      <c r="O11" s="4"/>
      <c r="AA11" s="3"/>
      <c r="AB11" s="3"/>
      <c r="AC11" s="3"/>
    </row>
    <row r="12" spans="1:29" x14ac:dyDescent="0.3">
      <c r="A12" s="11"/>
      <c r="B12" s="11"/>
      <c r="C12" s="11"/>
      <c r="D12" s="37"/>
      <c r="E12" s="37"/>
      <c r="F12" s="37"/>
      <c r="G12" s="37"/>
      <c r="H12" s="37"/>
      <c r="I12" s="37"/>
      <c r="J12" s="46"/>
      <c r="K12" s="38"/>
      <c r="M12" s="5"/>
      <c r="N12" s="5"/>
      <c r="O12" s="4"/>
      <c r="AA12" s="3"/>
      <c r="AB12" s="3"/>
      <c r="AC12" s="3"/>
    </row>
    <row r="13" spans="1:29" ht="16.2" thickBot="1" x14ac:dyDescent="0.35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56"/>
      <c r="M13" s="5"/>
      <c r="N13" s="5"/>
      <c r="O13" s="4"/>
      <c r="AA13" s="3"/>
      <c r="AB13" s="3"/>
      <c r="AC13" s="3"/>
    </row>
    <row r="14" spans="1:29" ht="16.2" thickBot="1" x14ac:dyDescent="0.35">
      <c r="A14" s="22"/>
      <c r="B14" s="22"/>
      <c r="C14" s="22"/>
      <c r="D14" s="22"/>
      <c r="E14" s="22"/>
      <c r="F14" s="23"/>
      <c r="G14" s="24" t="s">
        <v>24</v>
      </c>
      <c r="H14" s="24"/>
      <c r="I14" s="28"/>
      <c r="J14" s="28"/>
      <c r="K14" s="56"/>
      <c r="M14" s="5"/>
      <c r="N14" s="5"/>
      <c r="O14" s="4"/>
      <c r="AA14" s="3"/>
      <c r="AB14" s="3"/>
      <c r="AC14" s="3"/>
    </row>
    <row r="15" spans="1:29" ht="16.2" thickBot="1" x14ac:dyDescent="0.35">
      <c r="A15" s="22"/>
      <c r="B15" s="22"/>
      <c r="C15" s="22"/>
      <c r="D15" s="22"/>
      <c r="E15" s="22"/>
      <c r="F15" s="26" t="s">
        <v>29</v>
      </c>
      <c r="G15" s="26" t="s">
        <v>82</v>
      </c>
      <c r="H15" s="26"/>
      <c r="I15" s="28"/>
      <c r="J15" s="28"/>
      <c r="K15" s="56"/>
    </row>
    <row r="16" spans="1:29" ht="16.2" thickBot="1" x14ac:dyDescent="0.35">
      <c r="A16" s="22"/>
      <c r="B16" s="22"/>
      <c r="C16" s="22"/>
      <c r="D16" s="22"/>
      <c r="E16" s="22"/>
      <c r="F16" s="23" t="s">
        <v>25</v>
      </c>
      <c r="G16" s="23">
        <f>+(G3-F3)+(J3-I3)</f>
        <v>0.24444444444444424</v>
      </c>
      <c r="H16" s="23"/>
      <c r="I16" s="28"/>
      <c r="J16" s="28"/>
      <c r="K16" s="58"/>
    </row>
    <row r="17" spans="1:20" ht="16.2" thickBot="1" x14ac:dyDescent="0.35">
      <c r="A17" s="22"/>
      <c r="B17" s="22"/>
      <c r="C17" s="22"/>
      <c r="D17" s="22"/>
      <c r="E17" s="22"/>
      <c r="F17" s="23" t="s">
        <v>26</v>
      </c>
      <c r="G17" s="23">
        <f>+(G4-F4)+(J4-I4)</f>
        <v>0.24166666666666659</v>
      </c>
      <c r="H17" s="23"/>
      <c r="I17" s="28"/>
      <c r="J17" s="28"/>
      <c r="K17" s="58"/>
    </row>
    <row r="18" spans="1:20" ht="16.2" thickBot="1" x14ac:dyDescent="0.35">
      <c r="A18" s="22"/>
      <c r="B18" s="22"/>
      <c r="C18" s="22"/>
      <c r="D18" s="22"/>
      <c r="E18" s="22"/>
      <c r="F18" s="23" t="s">
        <v>27</v>
      </c>
      <c r="G18" s="23">
        <f>+(G5-F5)+(J5-I5)</f>
        <v>0.25138888888888888</v>
      </c>
      <c r="H18" s="23"/>
      <c r="I18" s="28"/>
      <c r="J18" s="28"/>
      <c r="K18" s="58"/>
    </row>
    <row r="19" spans="1:20" ht="16.2" thickBot="1" x14ac:dyDescent="0.35">
      <c r="A19" s="22"/>
      <c r="B19" s="22"/>
      <c r="C19" s="22"/>
      <c r="D19" s="22"/>
      <c r="E19" s="22"/>
      <c r="F19" s="23" t="s">
        <v>28</v>
      </c>
      <c r="G19" s="23">
        <f>+(G6-F6)+(J6-I6)</f>
        <v>0.26180555555555551</v>
      </c>
      <c r="H19" s="23"/>
      <c r="I19" s="28"/>
      <c r="J19" s="28"/>
      <c r="K19" s="58"/>
    </row>
    <row r="20" spans="1:20" ht="16.2" thickBot="1" x14ac:dyDescent="0.35">
      <c r="A20" s="22"/>
      <c r="B20" s="22"/>
      <c r="C20" s="22"/>
      <c r="D20" s="22"/>
      <c r="E20" s="22"/>
      <c r="F20" s="23" t="s">
        <v>50</v>
      </c>
      <c r="G20" s="23">
        <f>+(G7-F7)+(J7-I7)</f>
        <v>0.24583333333333324</v>
      </c>
      <c r="H20" s="23"/>
      <c r="I20" s="28"/>
      <c r="J20" s="28"/>
      <c r="K20" s="58"/>
    </row>
    <row r="21" spans="1:20" ht="20.25" customHeight="1" thickBot="1" x14ac:dyDescent="0.35">
      <c r="A21" s="22"/>
      <c r="B21" s="22"/>
      <c r="C21" s="22"/>
      <c r="D21" s="22"/>
      <c r="E21" s="22"/>
      <c r="F21" s="30" t="s">
        <v>40</v>
      </c>
      <c r="G21" s="30">
        <f>+AVERAGEIF(G16:G20, "&lt;&gt; 0")</f>
        <v>0.24902777777777771</v>
      </c>
      <c r="H21" s="30"/>
      <c r="I21" s="28"/>
      <c r="J21" s="28"/>
      <c r="K21" s="58"/>
    </row>
    <row r="22" spans="1:20" ht="16.2" thickBot="1" x14ac:dyDescent="0.35">
      <c r="A22" s="22"/>
      <c r="B22" s="22"/>
      <c r="C22" s="22"/>
      <c r="D22" s="22"/>
      <c r="E22" s="22"/>
      <c r="F22" s="25" t="s">
        <v>0</v>
      </c>
      <c r="G22" s="25">
        <v>0.25</v>
      </c>
      <c r="H22" s="25"/>
      <c r="I22" s="28"/>
      <c r="J22" s="28"/>
    </row>
    <row r="23" spans="1:20" ht="16.2" thickBot="1" x14ac:dyDescent="0.35">
      <c r="A23" s="41"/>
      <c r="B23" s="41"/>
      <c r="C23" s="42"/>
      <c r="D23" s="43"/>
      <c r="E23" s="43"/>
      <c r="F23" s="30" t="s">
        <v>41</v>
      </c>
      <c r="G23" s="44">
        <f>G21/G22</f>
        <v>0.99611111111111084</v>
      </c>
      <c r="H23" s="44"/>
      <c r="I23" s="43"/>
      <c r="J23" s="28"/>
    </row>
    <row r="24" spans="1:20" x14ac:dyDescent="0.3">
      <c r="E24" s="3"/>
      <c r="F24" s="3"/>
      <c r="I24" s="28"/>
      <c r="J24" s="28"/>
    </row>
    <row r="25" spans="1:20" x14ac:dyDescent="0.3">
      <c r="T25" s="3"/>
    </row>
    <row r="26" spans="1:20" x14ac:dyDescent="0.3">
      <c r="T26" s="3"/>
    </row>
    <row r="27" spans="1:20" ht="15.6" customHeight="1" x14ac:dyDescent="0.3">
      <c r="H27" s="181" t="s">
        <v>105</v>
      </c>
      <c r="I27" s="182" t="s">
        <v>104</v>
      </c>
      <c r="T27" s="3"/>
    </row>
    <row r="28" spans="1:20" ht="15.6" customHeight="1" x14ac:dyDescent="0.3">
      <c r="H28" s="181"/>
      <c r="I28" s="183"/>
      <c r="T28" s="3"/>
    </row>
    <row r="29" spans="1:20" ht="15.6" customHeight="1" x14ac:dyDescent="0.3">
      <c r="H29" s="181"/>
      <c r="I29" s="183"/>
      <c r="T29" s="3"/>
    </row>
    <row r="30" spans="1:20" ht="15.6" customHeight="1" x14ac:dyDescent="0.3">
      <c r="H30" s="181"/>
      <c r="I30" s="184"/>
      <c r="T30" s="3"/>
    </row>
    <row r="31" spans="1:20" x14ac:dyDescent="0.3">
      <c r="T31" s="3"/>
    </row>
    <row r="32" spans="1:20" x14ac:dyDescent="0.3">
      <c r="T32" s="3"/>
    </row>
    <row r="33" spans="20:20" x14ac:dyDescent="0.3">
      <c r="T33" s="3"/>
    </row>
    <row r="34" spans="20:20" x14ac:dyDescent="0.3">
      <c r="T34" s="3"/>
    </row>
    <row r="35" spans="20:20" x14ac:dyDescent="0.3">
      <c r="T35" s="3"/>
    </row>
    <row r="36" spans="20:20" x14ac:dyDescent="0.3">
      <c r="T36" s="3"/>
    </row>
    <row r="37" spans="20:20" x14ac:dyDescent="0.3">
      <c r="T37" s="3"/>
    </row>
    <row r="38" spans="20:20" x14ac:dyDescent="0.3">
      <c r="T38" s="3"/>
    </row>
    <row r="39" spans="20:20" x14ac:dyDescent="0.3">
      <c r="T39" s="3"/>
    </row>
    <row r="40" spans="20:20" x14ac:dyDescent="0.3">
      <c r="T40" s="3"/>
    </row>
    <row r="41" spans="20:20" x14ac:dyDescent="0.3">
      <c r="T41" s="3"/>
    </row>
    <row r="42" spans="20:20" x14ac:dyDescent="0.3">
      <c r="T42" s="3"/>
    </row>
    <row r="43" spans="20:20" x14ac:dyDescent="0.3">
      <c r="T43" s="3"/>
    </row>
    <row r="44" spans="20:20" x14ac:dyDescent="0.3">
      <c r="T44" s="3"/>
    </row>
    <row r="45" spans="20:20" x14ac:dyDescent="0.3">
      <c r="T45" s="3"/>
    </row>
    <row r="46" spans="20:20" x14ac:dyDescent="0.3">
      <c r="T46" s="3"/>
    </row>
    <row r="47" spans="20:20" x14ac:dyDescent="0.3">
      <c r="T47" s="3"/>
    </row>
    <row r="48" spans="20:20" x14ac:dyDescent="0.3">
      <c r="T48" s="3"/>
    </row>
    <row r="49" spans="20:20" x14ac:dyDescent="0.3">
      <c r="T49" s="3"/>
    </row>
    <row r="50" spans="20:20" x14ac:dyDescent="0.3">
      <c r="T50" s="3"/>
    </row>
    <row r="51" spans="20:20" x14ac:dyDescent="0.3">
      <c r="T51" s="3"/>
    </row>
    <row r="52" spans="20:20" x14ac:dyDescent="0.3">
      <c r="T52" s="3"/>
    </row>
    <row r="53" spans="20:20" x14ac:dyDescent="0.3">
      <c r="T53" s="3"/>
    </row>
    <row r="54" spans="20:20" x14ac:dyDescent="0.3">
      <c r="T54" s="3"/>
    </row>
    <row r="55" spans="20:20" x14ac:dyDescent="0.3">
      <c r="T55" s="3"/>
    </row>
    <row r="56" spans="20:20" x14ac:dyDescent="0.3">
      <c r="T56" s="3"/>
    </row>
    <row r="57" spans="20:20" x14ac:dyDescent="0.3">
      <c r="T57" s="3"/>
    </row>
    <row r="58" spans="20:20" x14ac:dyDescent="0.3">
      <c r="T58" s="3"/>
    </row>
    <row r="59" spans="20:20" x14ac:dyDescent="0.3">
      <c r="T59" s="3"/>
    </row>
    <row r="60" spans="20:20" x14ac:dyDescent="0.3">
      <c r="T60" s="3"/>
    </row>
    <row r="61" spans="20:20" x14ac:dyDescent="0.3">
      <c r="T61" s="3"/>
    </row>
    <row r="62" spans="20:20" x14ac:dyDescent="0.3">
      <c r="T62" s="3"/>
    </row>
    <row r="63" spans="20:20" x14ac:dyDescent="0.3">
      <c r="T63" s="3"/>
    </row>
  </sheetData>
  <mergeCells count="2">
    <mergeCell ref="H27:H30"/>
    <mergeCell ref="I27:I30"/>
  </mergeCells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7"/>
  <sheetViews>
    <sheetView zoomScale="60" zoomScaleNormal="60" workbookViewId="0">
      <selection activeCell="J7" sqref="J7"/>
    </sheetView>
  </sheetViews>
  <sheetFormatPr baseColWidth="10" defaultRowHeight="15.6" x14ac:dyDescent="0.3"/>
  <cols>
    <col min="5" max="5" width="12.8984375" customWidth="1"/>
    <col min="6" max="6" width="16.3984375" customWidth="1"/>
    <col min="7" max="7" width="16.69921875" customWidth="1"/>
  </cols>
  <sheetData>
    <row r="1" spans="1:29" x14ac:dyDescent="0.3">
      <c r="C1" s="31" t="s">
        <v>0</v>
      </c>
      <c r="D1" s="32">
        <v>0.3125</v>
      </c>
      <c r="E1" s="32">
        <v>0.35416666666666669</v>
      </c>
      <c r="F1" s="32">
        <v>0.36458333333333331</v>
      </c>
      <c r="G1" s="32">
        <v>0.58333333333333337</v>
      </c>
      <c r="H1" s="32">
        <v>0.61111111111111105</v>
      </c>
      <c r="I1" s="32">
        <v>0.61805555555555558</v>
      </c>
      <c r="J1" s="32">
        <v>0.66666666666666663</v>
      </c>
    </row>
    <row r="2" spans="1:29" ht="62.4" x14ac:dyDescent="0.3">
      <c r="A2" s="13" t="s">
        <v>13</v>
      </c>
      <c r="B2" s="27" t="s">
        <v>39</v>
      </c>
      <c r="C2" s="14" t="s">
        <v>9</v>
      </c>
      <c r="D2" s="15" t="s">
        <v>1</v>
      </c>
      <c r="E2" s="15" t="s">
        <v>20</v>
      </c>
      <c r="F2" s="16" t="s">
        <v>42</v>
      </c>
      <c r="G2" s="16" t="s">
        <v>43</v>
      </c>
      <c r="H2" s="16" t="s">
        <v>21</v>
      </c>
      <c r="I2" s="17" t="s">
        <v>44</v>
      </c>
      <c r="J2" s="16" t="s">
        <v>45</v>
      </c>
      <c r="K2" s="35" t="s">
        <v>36</v>
      </c>
      <c r="M2" s="1" t="s">
        <v>11</v>
      </c>
      <c r="N2" s="1" t="s">
        <v>14</v>
      </c>
      <c r="O2" s="1" t="s">
        <v>12</v>
      </c>
      <c r="P2" s="8" t="s">
        <v>10</v>
      </c>
      <c r="Q2" s="6" t="s">
        <v>35</v>
      </c>
      <c r="R2" s="9" t="s">
        <v>34</v>
      </c>
      <c r="S2" s="6" t="s">
        <v>23</v>
      </c>
      <c r="T2" s="16" t="s">
        <v>53</v>
      </c>
      <c r="U2" s="6" t="s">
        <v>19</v>
      </c>
      <c r="V2" s="21" t="s">
        <v>22</v>
      </c>
      <c r="W2" s="19" t="s">
        <v>30</v>
      </c>
      <c r="X2" s="20" t="s">
        <v>31</v>
      </c>
      <c r="Y2" s="20" t="s">
        <v>32</v>
      </c>
      <c r="Z2" s="20" t="s">
        <v>33</v>
      </c>
      <c r="AA2" s="19" t="s">
        <v>46</v>
      </c>
      <c r="AB2" s="19" t="s">
        <v>47</v>
      </c>
      <c r="AC2" s="19" t="s">
        <v>48</v>
      </c>
    </row>
    <row r="3" spans="1:29" x14ac:dyDescent="0.3">
      <c r="A3" s="12" t="s">
        <v>96</v>
      </c>
      <c r="B3" s="12" t="s">
        <v>37</v>
      </c>
      <c r="C3" s="4">
        <f>+Tabla5[[#This Row],[FECHA]]</f>
        <v>44907</v>
      </c>
      <c r="D3" s="37">
        <v>0.3125</v>
      </c>
      <c r="E3" s="37">
        <v>0.35069444444444442</v>
      </c>
      <c r="F3" s="37">
        <v>0.375</v>
      </c>
      <c r="G3" s="37">
        <v>0.58333333333333337</v>
      </c>
      <c r="H3" s="37">
        <v>0.59375</v>
      </c>
      <c r="I3" s="37">
        <v>0.61805555555555558</v>
      </c>
      <c r="J3" s="46">
        <v>0.65625</v>
      </c>
      <c r="K3" s="47"/>
      <c r="L3" s="53"/>
      <c r="M3" s="53"/>
      <c r="N3" s="57" t="s">
        <v>15</v>
      </c>
      <c r="O3" s="4">
        <f>Tabla5383940[[#This Row],[FECHA]]</f>
        <v>44907</v>
      </c>
      <c r="P3" s="7">
        <f>D3</f>
        <v>0.3125</v>
      </c>
      <c r="Q3" s="7">
        <f>E3-D3</f>
        <v>3.819444444444442E-2</v>
      </c>
      <c r="R3" s="7">
        <f>F3-E3</f>
        <v>2.430555555555558E-2</v>
      </c>
      <c r="S3" s="7">
        <f>G3-F3</f>
        <v>0.20833333333333337</v>
      </c>
      <c r="T3" s="7">
        <f>+Tabla5383940[[#This Row],[ALMUERZO]]-Tabla5383940[[#This Row],[TERMINO ACT. AM]]</f>
        <v>1.041666666666663E-2</v>
      </c>
      <c r="U3" s="7">
        <f>+Tabla5383940[[#This Row],[INICIO ACTIVIDADES PM]]-Tabla5383940[[#This Row],[ALMUERZO]]</f>
        <v>2.430555555555558E-2</v>
      </c>
      <c r="V3" s="7">
        <f>+Tabla5383940[[#This Row],[TERMINO ACTIVIDADES PM]]-Tabla5383940[[#This Row],[INICIO ACTIVIDADES PM]]</f>
        <v>3.819444444444442E-2</v>
      </c>
      <c r="W3" s="3">
        <f>+$D$1</f>
        <v>0.3125</v>
      </c>
      <c r="X3" s="3">
        <f>+$E$1</f>
        <v>0.35416666666666669</v>
      </c>
      <c r="Y3" s="3">
        <f>+$F$1</f>
        <v>0.36458333333333331</v>
      </c>
      <c r="Z3" s="3">
        <f>+$G$1</f>
        <v>0.58333333333333337</v>
      </c>
      <c r="AA3" s="3">
        <f>+$H$1</f>
        <v>0.61111111111111105</v>
      </c>
      <c r="AB3" s="3">
        <f>+$I$1</f>
        <v>0.61805555555555558</v>
      </c>
      <c r="AC3" s="3">
        <f>+$J$1</f>
        <v>0.66666666666666663</v>
      </c>
    </row>
    <row r="4" spans="1:29" x14ac:dyDescent="0.3">
      <c r="A4" s="12" t="s">
        <v>96</v>
      </c>
      <c r="B4" s="12" t="s">
        <v>26</v>
      </c>
      <c r="C4" s="4">
        <f>+Tabla5[[#This Row],[FECHA]]</f>
        <v>44908</v>
      </c>
      <c r="D4" s="37">
        <v>0.3125</v>
      </c>
      <c r="E4" s="37">
        <v>0.34583333333333338</v>
      </c>
      <c r="F4" s="37">
        <v>0.37152777777777773</v>
      </c>
      <c r="G4" s="37">
        <v>0.57291666666666663</v>
      </c>
      <c r="H4" s="37">
        <v>0.58333333333333337</v>
      </c>
      <c r="I4" s="37">
        <v>0.61111111111111105</v>
      </c>
      <c r="J4" s="46">
        <v>0.65625</v>
      </c>
      <c r="K4" s="47"/>
      <c r="M4" s="5"/>
      <c r="N4" s="5" t="s">
        <v>16</v>
      </c>
      <c r="O4" s="4">
        <f>Tabla5383940[[#This Row],[FECHA]]</f>
        <v>44908</v>
      </c>
      <c r="P4" s="7">
        <f>D4</f>
        <v>0.3125</v>
      </c>
      <c r="Q4" s="7">
        <f t="shared" ref="Q4:S7" si="0">E4-D4</f>
        <v>3.3333333333333381E-2</v>
      </c>
      <c r="R4" s="7">
        <f t="shared" si="0"/>
        <v>2.5694444444444353E-2</v>
      </c>
      <c r="S4" s="7">
        <f t="shared" si="0"/>
        <v>0.2013888888888889</v>
      </c>
      <c r="T4" s="7">
        <f>+Tabla5383940[[#This Row],[ALMUERZO]]-Tabla5383940[[#This Row],[TERMINO ACT. AM]]</f>
        <v>1.0416666666666741E-2</v>
      </c>
      <c r="U4" s="7">
        <f>+Tabla5383940[[#This Row],[INICIO ACTIVIDADES PM]]-Tabla5383940[[#This Row],[ALMUERZO]]</f>
        <v>2.7777777777777679E-2</v>
      </c>
      <c r="V4" s="7">
        <f>+Tabla5383940[[#This Row],[TERMINO ACTIVIDADES PM]]-Tabla5383940[[#This Row],[INICIO ACTIVIDADES PM]]</f>
        <v>4.5138888888888951E-2</v>
      </c>
      <c r="W4" s="3">
        <f t="shared" ref="W4:W7" si="1">+$D$1</f>
        <v>0.3125</v>
      </c>
      <c r="X4" s="3">
        <f t="shared" ref="X4:X7" si="2">+$E$1</f>
        <v>0.35416666666666669</v>
      </c>
      <c r="Y4" s="3">
        <f t="shared" ref="Y4:Y7" si="3">+$F$1</f>
        <v>0.36458333333333331</v>
      </c>
      <c r="Z4" s="3">
        <f t="shared" ref="Z4:Z7" si="4">+$G$1</f>
        <v>0.58333333333333337</v>
      </c>
      <c r="AA4" s="3">
        <f t="shared" ref="AA4:AA7" si="5">+$H$1</f>
        <v>0.61111111111111105</v>
      </c>
      <c r="AB4" s="3">
        <f t="shared" ref="AB4:AB7" si="6">+$I$1</f>
        <v>0.61805555555555558</v>
      </c>
      <c r="AC4" s="3">
        <f t="shared" ref="AC4:AC7" si="7">+$J$1</f>
        <v>0.66666666666666663</v>
      </c>
    </row>
    <row r="5" spans="1:29" x14ac:dyDescent="0.3">
      <c r="A5" s="12" t="s">
        <v>96</v>
      </c>
      <c r="B5" s="12" t="s">
        <v>27</v>
      </c>
      <c r="C5" s="4">
        <f>+Tabla5[[#This Row],[FECHA]]</f>
        <v>44909</v>
      </c>
      <c r="D5" s="37">
        <v>0.3125</v>
      </c>
      <c r="E5" s="37">
        <v>0.34375</v>
      </c>
      <c r="F5" s="37">
        <v>0.36805555555555558</v>
      </c>
      <c r="G5" s="37">
        <v>0.57638888888888895</v>
      </c>
      <c r="H5" s="37">
        <v>0.59027777777777779</v>
      </c>
      <c r="I5" s="37">
        <v>0.61805555555555558</v>
      </c>
      <c r="J5" s="46">
        <v>0.65277777777777779</v>
      </c>
      <c r="K5" s="47"/>
      <c r="M5" s="5"/>
      <c r="N5" s="5" t="s">
        <v>16</v>
      </c>
      <c r="O5" s="4">
        <f>Tabla5383940[[#This Row],[FECHA]]</f>
        <v>44909</v>
      </c>
      <c r="P5" s="7">
        <f>D5</f>
        <v>0.3125</v>
      </c>
      <c r="Q5" s="7">
        <f t="shared" si="0"/>
        <v>3.125E-2</v>
      </c>
      <c r="R5" s="7">
        <f t="shared" si="0"/>
        <v>2.430555555555558E-2</v>
      </c>
      <c r="S5" s="7">
        <f t="shared" si="0"/>
        <v>0.20833333333333337</v>
      </c>
      <c r="T5" s="7">
        <f>+Tabla5383940[[#This Row],[ALMUERZO]]-Tabla5383940[[#This Row],[TERMINO ACT. AM]]</f>
        <v>1.388888888888884E-2</v>
      </c>
      <c r="U5" s="7">
        <f>+Tabla5383940[[#This Row],[INICIO ACTIVIDADES PM]]-Tabla5383940[[#This Row],[ALMUERZO]]</f>
        <v>2.777777777777779E-2</v>
      </c>
      <c r="V5" s="7">
        <f>+Tabla5383940[[#This Row],[TERMINO ACTIVIDADES PM]]-Tabla5383940[[#This Row],[INICIO ACTIVIDADES PM]]</f>
        <v>3.472222222222221E-2</v>
      </c>
      <c r="W5" s="3">
        <f t="shared" si="1"/>
        <v>0.3125</v>
      </c>
      <c r="X5" s="3">
        <f t="shared" si="2"/>
        <v>0.35416666666666669</v>
      </c>
      <c r="Y5" s="3">
        <f t="shared" si="3"/>
        <v>0.36458333333333331</v>
      </c>
      <c r="Z5" s="3">
        <f t="shared" si="4"/>
        <v>0.58333333333333337</v>
      </c>
      <c r="AA5" s="3">
        <f t="shared" si="5"/>
        <v>0.61111111111111105</v>
      </c>
      <c r="AB5" s="3">
        <f t="shared" si="6"/>
        <v>0.61805555555555558</v>
      </c>
      <c r="AC5" s="3">
        <f t="shared" si="7"/>
        <v>0.66666666666666663</v>
      </c>
    </row>
    <row r="6" spans="1:29" x14ac:dyDescent="0.3">
      <c r="A6" s="12" t="s">
        <v>96</v>
      </c>
      <c r="B6" s="12" t="s">
        <v>28</v>
      </c>
      <c r="C6" s="4">
        <f>+Tabla5[[#This Row],[FECHA]]</f>
        <v>44910</v>
      </c>
      <c r="D6" s="37">
        <v>0.3125</v>
      </c>
      <c r="E6" s="37">
        <v>0.34027777777777773</v>
      </c>
      <c r="F6" s="37">
        <v>0.3611111111111111</v>
      </c>
      <c r="G6" s="37">
        <v>0.56944444444444442</v>
      </c>
      <c r="H6" s="37">
        <v>0.58333333333333337</v>
      </c>
      <c r="I6" s="37">
        <v>0.60763888888888895</v>
      </c>
      <c r="J6" s="46">
        <v>0.65972222222222221</v>
      </c>
      <c r="K6" s="47"/>
      <c r="M6" s="5"/>
      <c r="N6" s="5" t="s">
        <v>17</v>
      </c>
      <c r="O6" s="4">
        <f>Tabla5383940[[#This Row],[FECHA]]</f>
        <v>44910</v>
      </c>
      <c r="P6" s="7">
        <f>D6</f>
        <v>0.3125</v>
      </c>
      <c r="Q6" s="7">
        <f t="shared" si="0"/>
        <v>2.7777777777777735E-2</v>
      </c>
      <c r="R6" s="7">
        <f t="shared" si="0"/>
        <v>2.083333333333337E-2</v>
      </c>
      <c r="S6" s="7">
        <f t="shared" si="0"/>
        <v>0.20833333333333331</v>
      </c>
      <c r="T6" s="7">
        <f>+Tabla5383940[[#This Row],[ALMUERZO]]-Tabla5383940[[#This Row],[TERMINO ACT. AM]]</f>
        <v>1.3888888888888951E-2</v>
      </c>
      <c r="U6" s="7">
        <f>+Tabla5383940[[#This Row],[INICIO ACTIVIDADES PM]]-Tabla5383940[[#This Row],[ALMUERZO]]</f>
        <v>2.430555555555558E-2</v>
      </c>
      <c r="V6" s="7">
        <f>+Tabla5383940[[#This Row],[TERMINO ACTIVIDADES PM]]-Tabla5383940[[#This Row],[INICIO ACTIVIDADES PM]]</f>
        <v>5.2083333333333259E-2</v>
      </c>
      <c r="W6" s="3">
        <f t="shared" si="1"/>
        <v>0.3125</v>
      </c>
      <c r="X6" s="3">
        <f t="shared" si="2"/>
        <v>0.35416666666666669</v>
      </c>
      <c r="Y6" s="3">
        <f t="shared" si="3"/>
        <v>0.36458333333333331</v>
      </c>
      <c r="Z6" s="3">
        <f t="shared" si="4"/>
        <v>0.58333333333333337</v>
      </c>
      <c r="AA6" s="3">
        <f t="shared" si="5"/>
        <v>0.61111111111111105</v>
      </c>
      <c r="AB6" s="3">
        <f t="shared" si="6"/>
        <v>0.61805555555555558</v>
      </c>
      <c r="AC6" s="3">
        <f t="shared" si="7"/>
        <v>0.66666666666666663</v>
      </c>
    </row>
    <row r="7" spans="1:29" x14ac:dyDescent="0.3">
      <c r="A7" s="12" t="s">
        <v>96</v>
      </c>
      <c r="B7" s="12" t="s">
        <v>38</v>
      </c>
      <c r="C7" s="4">
        <f>+Tabla5[[#This Row],[FECHA]]</f>
        <v>44911</v>
      </c>
      <c r="D7" s="37">
        <v>0.3125</v>
      </c>
      <c r="E7" s="37">
        <v>0.34375</v>
      </c>
      <c r="F7" s="37">
        <v>0.37152777777777773</v>
      </c>
      <c r="G7" s="37">
        <v>0.58680555555555558</v>
      </c>
      <c r="H7" s="37">
        <v>0.59722222222222221</v>
      </c>
      <c r="I7" s="37">
        <v>0.62847222222222221</v>
      </c>
      <c r="J7" s="46">
        <v>0.65277777777777779</v>
      </c>
      <c r="K7" s="47"/>
      <c r="M7" s="5"/>
      <c r="N7" s="5" t="s">
        <v>18</v>
      </c>
      <c r="O7" s="4">
        <f>Tabla5383940[[#This Row],[FECHA]]</f>
        <v>44911</v>
      </c>
      <c r="P7" s="7">
        <f>D7</f>
        <v>0.3125</v>
      </c>
      <c r="Q7" s="7">
        <f t="shared" si="0"/>
        <v>3.125E-2</v>
      </c>
      <c r="R7" s="7">
        <f t="shared" si="0"/>
        <v>2.7777777777777735E-2</v>
      </c>
      <c r="S7" s="7">
        <f t="shared" si="0"/>
        <v>0.21527777777777785</v>
      </c>
      <c r="T7" s="7">
        <f>+Tabla5383940[[#This Row],[ALMUERZO]]-Tabla5383940[[#This Row],[TERMINO ACT. AM]]</f>
        <v>1.041666666666663E-2</v>
      </c>
      <c r="U7" s="7">
        <f>+Tabla5383940[[#This Row],[INICIO ACTIVIDADES PM]]-Tabla5383940[[#This Row],[ALMUERZO]]</f>
        <v>3.125E-2</v>
      </c>
      <c r="V7" s="7">
        <f>+Tabla5383940[[#This Row],[TERMINO ACTIVIDADES PM]]-Tabla5383940[[#This Row],[INICIO ACTIVIDADES PM]]</f>
        <v>2.430555555555558E-2</v>
      </c>
      <c r="W7" s="3">
        <f t="shared" si="1"/>
        <v>0.3125</v>
      </c>
      <c r="X7" s="3">
        <f t="shared" si="2"/>
        <v>0.35416666666666669</v>
      </c>
      <c r="Y7" s="3">
        <f t="shared" si="3"/>
        <v>0.36458333333333331</v>
      </c>
      <c r="Z7" s="3">
        <f t="shared" si="4"/>
        <v>0.58333333333333337</v>
      </c>
      <c r="AA7" s="3">
        <f t="shared" si="5"/>
        <v>0.61111111111111105</v>
      </c>
      <c r="AB7" s="3">
        <f t="shared" si="6"/>
        <v>0.61805555555555558</v>
      </c>
      <c r="AC7" s="3">
        <f t="shared" si="7"/>
        <v>0.66666666666666663</v>
      </c>
    </row>
    <row r="8" spans="1:29" x14ac:dyDescent="0.3">
      <c r="A8" s="11"/>
      <c r="B8" s="11"/>
      <c r="C8" s="4"/>
      <c r="D8" s="39"/>
      <c r="E8" s="56"/>
      <c r="F8" s="56"/>
      <c r="G8" s="56"/>
      <c r="H8" s="56"/>
      <c r="I8" s="56"/>
      <c r="J8" s="56"/>
      <c r="K8" s="38"/>
      <c r="M8" s="5"/>
      <c r="N8" s="5"/>
      <c r="O8" s="4"/>
      <c r="P8" s="7"/>
      <c r="Q8" s="7"/>
      <c r="R8" s="7"/>
      <c r="S8" s="7"/>
      <c r="T8" s="7"/>
      <c r="U8" s="7"/>
      <c r="V8" s="7"/>
      <c r="W8" s="3"/>
      <c r="X8" s="3"/>
      <c r="Y8" s="3"/>
      <c r="Z8" s="3"/>
      <c r="AA8" s="3"/>
      <c r="AB8" s="3"/>
      <c r="AC8" s="3"/>
    </row>
    <row r="9" spans="1:29" x14ac:dyDescent="0.3">
      <c r="A9" s="11"/>
      <c r="B9" s="11"/>
      <c r="C9" s="11"/>
      <c r="D9" s="37"/>
      <c r="E9" s="37"/>
      <c r="F9" s="37"/>
      <c r="G9" s="37"/>
      <c r="H9" s="37"/>
      <c r="I9" s="37"/>
      <c r="J9" s="46"/>
      <c r="K9" s="38"/>
      <c r="M9" s="5">
        <f>Tabla5383940[[#This Row],[Columna1]]</f>
        <v>0</v>
      </c>
      <c r="N9" s="5"/>
      <c r="O9" s="4"/>
      <c r="P9" s="7"/>
      <c r="Q9" s="7"/>
      <c r="R9" s="7"/>
      <c r="S9" s="7"/>
      <c r="T9" s="7"/>
      <c r="U9" s="29"/>
      <c r="V9" s="7"/>
      <c r="W9" s="3"/>
      <c r="X9" s="3"/>
      <c r="Y9" s="3"/>
      <c r="Z9" s="3"/>
      <c r="AA9" s="3"/>
      <c r="AB9" s="3"/>
      <c r="AC9" s="3"/>
    </row>
    <row r="10" spans="1:29" x14ac:dyDescent="0.3">
      <c r="A10" s="40"/>
      <c r="B10" s="40"/>
      <c r="C10" s="40"/>
      <c r="D10" s="37"/>
      <c r="E10" s="37"/>
      <c r="F10" s="37"/>
      <c r="G10" s="37"/>
      <c r="H10" s="37"/>
      <c r="I10" s="37"/>
      <c r="J10" s="46"/>
      <c r="K10" s="38"/>
      <c r="M10" s="18"/>
      <c r="N10" s="5"/>
      <c r="O10" s="4"/>
      <c r="P10" s="7"/>
      <c r="Q10" s="7"/>
      <c r="R10" s="7"/>
      <c r="S10" s="7"/>
      <c r="T10" s="7"/>
      <c r="U10" s="29"/>
      <c r="V10" s="7"/>
      <c r="W10" s="3"/>
      <c r="X10" s="3"/>
      <c r="Y10" s="3"/>
      <c r="Z10" s="3"/>
      <c r="AA10" s="3"/>
      <c r="AB10" s="3"/>
      <c r="AC10" s="3"/>
    </row>
    <row r="11" spans="1:29" x14ac:dyDescent="0.3">
      <c r="A11" s="40"/>
      <c r="B11" s="40"/>
      <c r="C11" s="40"/>
      <c r="D11" s="37"/>
      <c r="E11" s="37"/>
      <c r="F11" s="37"/>
      <c r="G11" s="37"/>
      <c r="H11" s="37"/>
      <c r="I11" s="37"/>
      <c r="J11" s="46"/>
      <c r="K11" s="38"/>
      <c r="M11" s="5"/>
      <c r="N11" s="5"/>
      <c r="O11" s="4"/>
      <c r="P11" s="7"/>
      <c r="Q11" s="7"/>
      <c r="R11" s="7"/>
      <c r="S11" s="7"/>
      <c r="T11" s="7"/>
      <c r="U11" s="29"/>
      <c r="V11" s="7"/>
      <c r="W11" s="3"/>
      <c r="X11" s="3"/>
      <c r="Y11" s="3"/>
      <c r="Z11" s="3"/>
      <c r="AA11" s="3"/>
      <c r="AB11" s="3"/>
      <c r="AC11" s="3"/>
    </row>
    <row r="12" spans="1:29" x14ac:dyDescent="0.3">
      <c r="A12" s="11"/>
      <c r="B12" s="11"/>
      <c r="C12" s="11"/>
      <c r="D12" s="37"/>
      <c r="E12" s="37"/>
      <c r="F12" s="37"/>
      <c r="G12" s="37"/>
      <c r="H12" s="37"/>
      <c r="I12" s="37"/>
      <c r="J12" s="46"/>
      <c r="K12" s="38"/>
      <c r="M12" s="5"/>
      <c r="N12" s="5"/>
      <c r="O12" s="4"/>
      <c r="P12" s="7"/>
      <c r="Q12" s="7"/>
      <c r="R12" s="7"/>
      <c r="S12" s="7"/>
      <c r="T12" s="7"/>
      <c r="U12" s="29"/>
      <c r="V12" s="7"/>
      <c r="W12" s="3"/>
      <c r="X12" s="3"/>
      <c r="Y12" s="3"/>
      <c r="Z12" s="3"/>
      <c r="AA12" s="3"/>
      <c r="AB12" s="3"/>
      <c r="AC12" s="3"/>
    </row>
    <row r="13" spans="1:29" ht="16.2" thickBot="1" x14ac:dyDescent="0.35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56"/>
      <c r="M13" s="5"/>
      <c r="N13" s="5"/>
      <c r="O13" s="4"/>
      <c r="P13" s="7"/>
      <c r="Q13" s="7"/>
      <c r="R13" s="7"/>
      <c r="S13" s="7"/>
      <c r="T13" s="7"/>
      <c r="U13" s="29"/>
      <c r="V13" s="7"/>
      <c r="W13" s="3"/>
      <c r="X13" s="3"/>
      <c r="Y13" s="3"/>
      <c r="Z13" s="3"/>
      <c r="AA13" s="3"/>
      <c r="AB13" s="3"/>
      <c r="AC13" s="3"/>
    </row>
    <row r="14" spans="1:29" ht="16.2" thickBot="1" x14ac:dyDescent="0.35">
      <c r="A14" s="22"/>
      <c r="B14" s="22"/>
      <c r="C14" s="22"/>
      <c r="D14" s="22"/>
      <c r="E14" s="22"/>
      <c r="F14" s="23"/>
      <c r="G14" s="24" t="s">
        <v>24</v>
      </c>
      <c r="H14" s="24"/>
      <c r="I14" s="28"/>
      <c r="J14" s="28"/>
      <c r="K14" s="56"/>
      <c r="M14" s="5"/>
      <c r="N14" s="5"/>
      <c r="O14" s="4"/>
      <c r="P14" s="7"/>
      <c r="Q14" s="7"/>
      <c r="R14" s="7"/>
      <c r="S14" s="7"/>
      <c r="T14" s="7"/>
      <c r="U14" s="29"/>
      <c r="V14" s="7"/>
      <c r="W14" s="3"/>
      <c r="X14" s="3"/>
      <c r="Y14" s="3"/>
      <c r="Z14" s="3"/>
      <c r="AA14" s="3"/>
      <c r="AB14" s="3"/>
      <c r="AC14" s="3"/>
    </row>
    <row r="15" spans="1:29" ht="16.2" thickBot="1" x14ac:dyDescent="0.35">
      <c r="A15" s="22"/>
      <c r="B15" s="22"/>
      <c r="C15" s="22"/>
      <c r="D15" s="22"/>
      <c r="E15" s="22"/>
      <c r="F15" s="26" t="s">
        <v>29</v>
      </c>
      <c r="G15" s="26" t="s">
        <v>83</v>
      </c>
      <c r="H15" s="26"/>
      <c r="I15" s="28"/>
      <c r="J15" s="28"/>
      <c r="K15" s="56"/>
      <c r="T15" s="3"/>
    </row>
    <row r="16" spans="1:29" ht="16.2" thickBot="1" x14ac:dyDescent="0.35">
      <c r="A16" s="22"/>
      <c r="B16" s="22"/>
      <c r="C16" s="22"/>
      <c r="D16" s="22"/>
      <c r="E16" s="22"/>
      <c r="F16" s="23" t="s">
        <v>25</v>
      </c>
      <c r="G16" s="23">
        <f>+(G3-F3)+(J3-I3)</f>
        <v>0.24652777777777779</v>
      </c>
      <c r="H16" s="23"/>
      <c r="I16" s="28"/>
      <c r="J16" s="28"/>
      <c r="K16" s="58"/>
    </row>
    <row r="17" spans="1:20" ht="16.2" thickBot="1" x14ac:dyDescent="0.35">
      <c r="A17" s="22"/>
      <c r="B17" s="22"/>
      <c r="C17" s="22"/>
      <c r="D17" s="22"/>
      <c r="E17" s="22"/>
      <c r="F17" s="23" t="s">
        <v>26</v>
      </c>
      <c r="G17" s="23">
        <f>+(G4-F4)+(J4-I4)</f>
        <v>0.24652777777777785</v>
      </c>
      <c r="H17" s="23"/>
      <c r="I17" s="28"/>
      <c r="J17" s="28"/>
      <c r="K17" s="58"/>
    </row>
    <row r="18" spans="1:20" ht="16.2" thickBot="1" x14ac:dyDescent="0.35">
      <c r="A18" s="22"/>
      <c r="B18" s="22"/>
      <c r="C18" s="22"/>
      <c r="D18" s="22"/>
      <c r="E18" s="22"/>
      <c r="F18" s="23" t="s">
        <v>27</v>
      </c>
      <c r="G18" s="23">
        <f>+(G5-F5)+(J5-I5)</f>
        <v>0.24305555555555558</v>
      </c>
      <c r="H18" s="23"/>
      <c r="I18" s="28"/>
      <c r="J18" s="28"/>
      <c r="K18" s="58"/>
    </row>
    <row r="19" spans="1:20" ht="16.2" thickBot="1" x14ac:dyDescent="0.35">
      <c r="A19" s="22"/>
      <c r="B19" s="22"/>
      <c r="C19" s="22"/>
      <c r="D19" s="22"/>
      <c r="E19" s="22"/>
      <c r="F19" s="23" t="s">
        <v>28</v>
      </c>
      <c r="G19" s="23">
        <f>+(G6-F6)+(J6-I6)</f>
        <v>0.26041666666666657</v>
      </c>
      <c r="H19" s="23"/>
      <c r="I19" s="28"/>
      <c r="J19" s="28"/>
      <c r="K19" s="58"/>
    </row>
    <row r="20" spans="1:20" ht="16.2" thickBot="1" x14ac:dyDescent="0.35">
      <c r="A20" s="22"/>
      <c r="B20" s="22"/>
      <c r="C20" s="22"/>
      <c r="D20" s="22"/>
      <c r="E20" s="22"/>
      <c r="F20" s="23" t="s">
        <v>50</v>
      </c>
      <c r="G20" s="23">
        <f>+(G7-F7)+(J7-I7)</f>
        <v>0.23958333333333343</v>
      </c>
      <c r="H20" s="23"/>
      <c r="I20" s="28"/>
      <c r="J20" s="28"/>
      <c r="K20" s="58"/>
    </row>
    <row r="21" spans="1:20" ht="20.25" customHeight="1" thickBot="1" x14ac:dyDescent="0.35">
      <c r="A21" s="22"/>
      <c r="B21" s="22"/>
      <c r="C21" s="22"/>
      <c r="D21" s="22"/>
      <c r="E21" s="22"/>
      <c r="F21" s="30" t="s">
        <v>40</v>
      </c>
      <c r="G21" s="30">
        <f>+AVERAGEIF(G16:G20, "&lt;&gt; 0")</f>
        <v>0.24722222222222223</v>
      </c>
      <c r="H21" s="30"/>
      <c r="I21" s="28"/>
      <c r="J21" s="28"/>
      <c r="K21" s="58"/>
    </row>
    <row r="22" spans="1:20" ht="16.2" thickBot="1" x14ac:dyDescent="0.35">
      <c r="A22" s="22"/>
      <c r="B22" s="22"/>
      <c r="C22" s="22"/>
      <c r="D22" s="22"/>
      <c r="E22" s="22"/>
      <c r="F22" s="25" t="s">
        <v>0</v>
      </c>
      <c r="G22" s="25">
        <v>0.25</v>
      </c>
      <c r="H22" s="25"/>
      <c r="I22" s="28"/>
      <c r="J22" s="28"/>
    </row>
    <row r="23" spans="1:20" ht="16.2" thickBot="1" x14ac:dyDescent="0.35">
      <c r="A23" s="41"/>
      <c r="B23" s="41"/>
      <c r="C23" s="42"/>
      <c r="D23" s="43"/>
      <c r="E23" s="43"/>
      <c r="F23" s="30" t="s">
        <v>41</v>
      </c>
      <c r="G23" s="44">
        <f>G21/G22</f>
        <v>0.98888888888888893</v>
      </c>
      <c r="H23" s="44"/>
      <c r="I23" s="43"/>
      <c r="J23" s="28"/>
    </row>
    <row r="24" spans="1:20" x14ac:dyDescent="0.3">
      <c r="E24" s="3"/>
      <c r="F24" s="3"/>
      <c r="I24" s="28"/>
      <c r="J24" s="28"/>
    </row>
    <row r="25" spans="1:20" x14ac:dyDescent="0.3">
      <c r="T25" s="3"/>
    </row>
    <row r="26" spans="1:20" x14ac:dyDescent="0.3">
      <c r="T26" s="3"/>
    </row>
    <row r="27" spans="1:20" ht="15.6" customHeight="1" x14ac:dyDescent="0.3">
      <c r="I27" s="181" t="s">
        <v>105</v>
      </c>
      <c r="J27" s="182" t="s">
        <v>103</v>
      </c>
      <c r="T27" s="3"/>
    </row>
    <row r="28" spans="1:20" ht="15.6" customHeight="1" x14ac:dyDescent="0.3">
      <c r="I28" s="181"/>
      <c r="J28" s="183"/>
      <c r="T28" s="3"/>
    </row>
    <row r="29" spans="1:20" ht="15.6" customHeight="1" x14ac:dyDescent="0.3">
      <c r="I29" s="181"/>
      <c r="J29" s="183"/>
      <c r="T29" s="3"/>
    </row>
    <row r="30" spans="1:20" ht="15.6" customHeight="1" x14ac:dyDescent="0.3">
      <c r="I30" s="181"/>
      <c r="J30" s="184"/>
      <c r="T30" s="3"/>
    </row>
    <row r="31" spans="1:20" x14ac:dyDescent="0.3">
      <c r="T31" s="3"/>
    </row>
    <row r="32" spans="1:20" x14ac:dyDescent="0.3">
      <c r="T32" s="3"/>
    </row>
    <row r="33" spans="20:20" x14ac:dyDescent="0.3">
      <c r="T33" s="3"/>
    </row>
    <row r="34" spans="20:20" x14ac:dyDescent="0.3">
      <c r="T34" s="3"/>
    </row>
    <row r="35" spans="20:20" x14ac:dyDescent="0.3">
      <c r="T35" s="3"/>
    </row>
    <row r="36" spans="20:20" x14ac:dyDescent="0.3">
      <c r="T36" s="3"/>
    </row>
    <row r="37" spans="20:20" x14ac:dyDescent="0.3">
      <c r="T37" s="3"/>
    </row>
    <row r="38" spans="20:20" x14ac:dyDescent="0.3">
      <c r="T38" s="3"/>
    </row>
    <row r="39" spans="20:20" x14ac:dyDescent="0.3">
      <c r="T39" s="3"/>
    </row>
    <row r="40" spans="20:20" x14ac:dyDescent="0.3">
      <c r="T40" s="3"/>
    </row>
    <row r="41" spans="20:20" x14ac:dyDescent="0.3">
      <c r="T41" s="3"/>
    </row>
    <row r="42" spans="20:20" x14ac:dyDescent="0.3">
      <c r="T42" s="3"/>
    </row>
    <row r="43" spans="20:20" x14ac:dyDescent="0.3">
      <c r="T43" s="3"/>
    </row>
    <row r="44" spans="20:20" x14ac:dyDescent="0.3">
      <c r="T44" s="3"/>
    </row>
    <row r="45" spans="20:20" x14ac:dyDescent="0.3">
      <c r="T45" s="3"/>
    </row>
    <row r="46" spans="20:20" x14ac:dyDescent="0.3">
      <c r="T46" s="3"/>
    </row>
    <row r="47" spans="20:20" x14ac:dyDescent="0.3">
      <c r="T47" s="3"/>
    </row>
    <row r="48" spans="20:20" x14ac:dyDescent="0.3">
      <c r="T48" s="3"/>
    </row>
    <row r="49" spans="20:20" x14ac:dyDescent="0.3">
      <c r="T49" s="3"/>
    </row>
    <row r="50" spans="20:20" x14ac:dyDescent="0.3">
      <c r="T50" s="3"/>
    </row>
    <row r="51" spans="20:20" x14ac:dyDescent="0.3">
      <c r="T51" s="3"/>
    </row>
    <row r="52" spans="20:20" x14ac:dyDescent="0.3">
      <c r="T52" s="3"/>
    </row>
    <row r="53" spans="20:20" x14ac:dyDescent="0.3">
      <c r="T53" s="3"/>
    </row>
    <row r="54" spans="20:20" x14ac:dyDescent="0.3">
      <c r="T54" s="3"/>
    </row>
    <row r="55" spans="20:20" x14ac:dyDescent="0.3">
      <c r="T55" s="3"/>
    </row>
    <row r="56" spans="20:20" x14ac:dyDescent="0.3">
      <c r="T56" s="3"/>
    </row>
    <row r="57" spans="20:20" x14ac:dyDescent="0.3">
      <c r="T57" s="3"/>
    </row>
  </sheetData>
  <mergeCells count="2">
    <mergeCell ref="I27:I30"/>
    <mergeCell ref="J27:J30"/>
  </mergeCells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21</vt:i4>
      </vt:variant>
    </vt:vector>
  </HeadingPairs>
  <TitlesOfParts>
    <vt:vector size="21" baseType="lpstr">
      <vt:lpstr>TTE 6 </vt:lpstr>
      <vt:lpstr>SUB 5</vt:lpstr>
      <vt:lpstr>SUB 6</vt:lpstr>
      <vt:lpstr>PIPA N</vt:lpstr>
      <vt:lpstr>DIABLO</vt:lpstr>
      <vt:lpstr>ACCU</vt:lpstr>
      <vt:lpstr>Salvataje</vt:lpstr>
      <vt:lpstr>Vent </vt:lpstr>
      <vt:lpstr>P M</vt:lpstr>
      <vt:lpstr>La junta</vt:lpstr>
      <vt:lpstr>AC</vt:lpstr>
      <vt:lpstr>Colec</vt:lpstr>
      <vt:lpstr>TTE 7</vt:lpstr>
      <vt:lpstr>CH colon</vt:lpstr>
      <vt:lpstr>Disc Op</vt:lpstr>
      <vt:lpstr>VIMO</vt:lpstr>
      <vt:lpstr>Brocales</vt:lpstr>
      <vt:lpstr>Est sup</vt:lpstr>
      <vt:lpstr>Est mina</vt:lpstr>
      <vt:lpstr>Est ACU</vt:lpstr>
      <vt:lpstr>Tableros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PABLO BARRIA VERDUGO</dc:creator>
  <cp:lastModifiedBy>usuario</cp:lastModifiedBy>
  <cp:lastPrinted>2019-05-16T16:03:05Z</cp:lastPrinted>
  <dcterms:created xsi:type="dcterms:W3CDTF">2019-05-14T14:59:48Z</dcterms:created>
  <dcterms:modified xsi:type="dcterms:W3CDTF">2022-12-27T10:51:10Z</dcterms:modified>
</cp:coreProperties>
</file>