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<sst xmlns="http://schemas.openxmlformats.org/spreadsheetml/2006/main" count="1110" uniqueCount="129">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</sst>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/>
    <cellStyle name="Normal 3" xfId="2"/>
    <cellStyle name="Normal 4" xfId="4"/>
    <cellStyle name="Porcentaje" xfId="1" builtinId="5"/>
    <cellStyle name="Porcentaje 2" xf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2.7777777777777735E-2</c:v>
                </c:pt>
                <c:pt idx="1">
                  <c:v>2.5000000000000022E-2</c:v>
                </c:pt>
                <c:pt idx="2">
                  <c:v>2.6388888888888906E-2</c:v>
                </c:pt>
                <c:pt idx="3">
                  <c:v>2.5694444444444409E-2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1.5972222222222276E-2</c:v>
                </c:pt>
                <c:pt idx="2">
                  <c:v>1.3888888888888895E-2</c:v>
                </c:pt>
                <c:pt idx="3">
                  <c:v>1.5972222222222276E-2</c:v>
                </c:pt>
                <c:pt idx="4">
                  <c:v>1.9444444444444431E-2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0.22916666666666663</c:v>
                </c:pt>
                <c:pt idx="1">
                  <c:v>0.21249999999999997</c:v>
                </c:pt>
                <c:pt idx="2">
                  <c:v>0.23749999999999993</c:v>
                </c:pt>
                <c:pt idx="3">
                  <c:v>0.23402777777777767</c:v>
                </c:pt>
                <c:pt idx="4">
                  <c:v>0.23055555555555551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8.3333333333334147E-3</c:v>
                </c:pt>
                <c:pt idx="1">
                  <c:v>6.2499999999999778E-3</c:v>
                </c:pt>
                <c:pt idx="2">
                  <c:v>5.5555555555556468E-3</c:v>
                </c:pt>
                <c:pt idx="3">
                  <c:v>5.5555555555556468E-3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2.9861111111111116E-2</c:v>
                </c:pt>
                <c:pt idx="1">
                  <c:v>2.430555555555558E-2</c:v>
                </c:pt>
                <c:pt idx="2">
                  <c:v>3.125E-2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1.0416666666666408E-2</c:v>
                </c:pt>
                <c:pt idx="1">
                  <c:v>3.8194444444444198E-2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2.0833333333333259E-2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1.3194444444444509E-2</c:v>
                </c:pt>
                <c:pt idx="2">
                  <c:v>5.6944444444444464E-2</c:v>
                </c:pt>
                <c:pt idx="3">
                  <c:v>2.5694444444444464E-2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0.13541666666666663</c:v>
                </c:pt>
                <c:pt idx="1">
                  <c:v>0.12916666666666665</c:v>
                </c:pt>
                <c:pt idx="2">
                  <c:v>0.12916666666666665</c:v>
                </c:pt>
                <c:pt idx="3">
                  <c:v>0.13819444444444451</c:v>
                </c:pt>
                <c:pt idx="4">
                  <c:v>0.14861111111111114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6.9444444444443088E-3</c:v>
                </c:pt>
                <c:pt idx="1">
                  <c:v>1.0416666666666741E-2</c:v>
                </c:pt>
                <c:pt idx="2">
                  <c:v>4.8611111111110938E-3</c:v>
                </c:pt>
                <c:pt idx="3">
                  <c:v>6.2499999999998668E-3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2.7777777777777901E-2</c:v>
                </c:pt>
                <c:pt idx="1">
                  <c:v>2.9166666666666563E-2</c:v>
                </c:pt>
                <c:pt idx="2">
                  <c:v>2.4305555555555691E-2</c:v>
                </c:pt>
                <c:pt idx="3">
                  <c:v>2.7777777777777901E-2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0.12152777777777779</c:v>
                </c:pt>
                <c:pt idx="1">
                  <c:v>0.14097222222222228</c:v>
                </c:pt>
                <c:pt idx="2">
                  <c:v>9.9305555555555536E-2</c:v>
                </c:pt>
                <c:pt idx="3">
                  <c:v>0.12152777777777779</c:v>
                </c:pt>
                <c:pt idx="4">
                  <c:v>9.9305555555555536E-2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2.5694444444444464E-2</c:v>
                </c:pt>
                <c:pt idx="1">
                  <c:v>2.0833333333333315E-2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1.1111111111111072E-2</c:v>
                </c:pt>
                <c:pt idx="1">
                  <c:v>2.083333333333337E-2</c:v>
                </c:pt>
                <c:pt idx="2">
                  <c:v>1.8749999999999989E-2</c:v>
                </c:pt>
                <c:pt idx="3">
                  <c:v>1.2500000000000067E-2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0.17847222222222225</c:v>
                </c:pt>
                <c:pt idx="1">
                  <c:v>0.18055555555555552</c:v>
                </c:pt>
                <c:pt idx="2">
                  <c:v>0.15486111111111106</c:v>
                </c:pt>
                <c:pt idx="3">
                  <c:v>0.18194444444444441</c:v>
                </c:pt>
                <c:pt idx="4">
                  <c:v>0.18125000000000002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6.9444444444444198E-3</c:v>
                </c:pt>
                <c:pt idx="2">
                  <c:v>1.0416666666666741E-2</c:v>
                </c:pt>
                <c:pt idx="3">
                  <c:v>1.388888888888884E-2</c:v>
                </c:pt>
                <c:pt idx="4">
                  <c:v>9.7222222222221877E-3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2.777777777777779E-2</c:v>
                </c:pt>
                <c:pt idx="2">
                  <c:v>3.125E-2</c:v>
                </c:pt>
                <c:pt idx="3">
                  <c:v>3.125E-2</c:v>
                </c:pt>
                <c:pt idx="4">
                  <c:v>2.9166666666666674E-2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7.9861111111111382E-2</c:v>
                </c:pt>
                <c:pt idx="1">
                  <c:v>8.333333333333337E-2</c:v>
                </c:pt>
                <c:pt idx="2">
                  <c:v>0.10069444444444464</c:v>
                </c:pt>
                <c:pt idx="3">
                  <c:v>7.9861111111111382E-2</c:v>
                </c:pt>
                <c:pt idx="4">
                  <c:v>8.1944444444444708E-2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0.31458333333333333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6.9444444444444753E-3</c:v>
                </c:pt>
                <c:pt idx="1">
                  <c:v>8.3333333333333592E-3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2.2222222222222143E-2</c:v>
                </c:pt>
                <c:pt idx="1">
                  <c:v>2.0833333333333315E-2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0.16875000000000001</c:v>
                </c:pt>
                <c:pt idx="1">
                  <c:v>0.15972222222222221</c:v>
                </c:pt>
                <c:pt idx="2">
                  <c:v>0.17847222222222225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3.4722222222223209E-3</c:v>
                </c:pt>
                <c:pt idx="1">
                  <c:v>3.4722222222222099E-3</c:v>
                </c:pt>
                <c:pt idx="2">
                  <c:v>5.5555555555555358E-3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2.2916666666666696E-2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0.12499999999999978</c:v>
                </c:pt>
                <c:pt idx="1">
                  <c:v>0.12986111111111109</c:v>
                </c:pt>
                <c:pt idx="2">
                  <c:v>0.10763888888888862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0.67361111111111105</c:v>
                </c:pt>
                <c:pt idx="1">
                  <c:v>0.67361111111111116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1.5277777777777946E-2</c:v>
                </c:pt>
                <c:pt idx="1">
                  <c:v>2.083333333333337E-2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1.7361111111110938E-2</c:v>
                </c:pt>
                <c:pt idx="1">
                  <c:v>1.7361111111110938E-2</c:v>
                </c:pt>
                <c:pt idx="2">
                  <c:v>1.9444444444444486E-2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0.21388888888888891</c:v>
                </c:pt>
                <c:pt idx="1">
                  <c:v>0.20486111111111116</c:v>
                </c:pt>
                <c:pt idx="2">
                  <c:v>0.2270833333333333</c:v>
                </c:pt>
                <c:pt idx="3">
                  <c:v>0.21875</c:v>
                </c:pt>
                <c:pt idx="4">
                  <c:v>0.22569444444444442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6.9444444444445308E-3</c:v>
                </c:pt>
                <c:pt idx="1">
                  <c:v>6.9444444444445308E-3</c:v>
                </c:pt>
                <c:pt idx="2">
                  <c:v>8.3333333333333037E-3</c:v>
                </c:pt>
                <c:pt idx="3">
                  <c:v>6.9444444444444198E-3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2.9166666666666563E-2</c:v>
                </c:pt>
                <c:pt idx="1">
                  <c:v>2.4305555555555469E-2</c:v>
                </c:pt>
                <c:pt idx="2">
                  <c:v>2.2916666666666696E-2</c:v>
                </c:pt>
                <c:pt idx="3">
                  <c:v>2.5694444444444464E-2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3.6805555555555092E-2</c:v>
                </c:pt>
                <c:pt idx="1">
                  <c:v>4.513888888888884E-2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0.30902777777777779</c:v>
                </c:pt>
                <c:pt idx="1">
                  <c:v>0.31388888888888888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0.31180555555555556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1.1805555555555569E-2</c:v>
                </c:pt>
                <c:pt idx="1">
                  <c:v>1.2500000000000011E-2</c:v>
                </c:pt>
                <c:pt idx="2">
                  <c:v>1.0416666666666685E-2</c:v>
                </c:pt>
                <c:pt idx="3">
                  <c:v>1.1805555555555569E-2</c:v>
                </c:pt>
                <c:pt idx="4">
                  <c:v>1.8055555555555547E-2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2.2916666666666641E-2</c:v>
                </c:pt>
                <c:pt idx="1">
                  <c:v>2.2222222222222254E-2</c:v>
                </c:pt>
                <c:pt idx="2">
                  <c:v>2.7777777777777735E-2</c:v>
                </c:pt>
                <c:pt idx="3">
                  <c:v>2.2916666666666641E-2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0.24305555555555558</c:v>
                </c:pt>
                <c:pt idx="1">
                  <c:v>0.23819444444444443</c:v>
                </c:pt>
                <c:pt idx="2">
                  <c:v>0.15069444444444446</c:v>
                </c:pt>
                <c:pt idx="3">
                  <c:v>0.15833333333333333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1.1805555555555514E-2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2.777777777777779E-2</c:v>
                </c:pt>
                <c:pt idx="1">
                  <c:v>2.6388888888888906E-2</c:v>
                </c:pt>
                <c:pt idx="2">
                  <c:v>3.1944444444444442E-2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3.1250000000000222E-2</c:v>
                </c:pt>
                <c:pt idx="1">
                  <c:v>2.777777777777779E-2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0.68402777777777779</c:v>
                </c:pt>
                <c:pt idx="1">
                  <c:v>0.68958333333333333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0.68541666666666667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1.7361111111111049E-2</c:v>
                </c:pt>
                <c:pt idx="1">
                  <c:v>1.8750000000000044E-2</c:v>
                </c:pt>
                <c:pt idx="2">
                  <c:v>1.7361111111111049E-2</c:v>
                </c:pt>
                <c:pt idx="3">
                  <c:v>2.7777777777777679E-2</c:v>
                </c:pt>
                <c:pt idx="4">
                  <c:v>1.5972222222222165E-2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1.3194444444444398E-2</c:v>
                </c:pt>
                <c:pt idx="1">
                  <c:v>1.041666666666663E-2</c:v>
                </c:pt>
                <c:pt idx="2">
                  <c:v>1.3888888888888951E-2</c:v>
                </c:pt>
                <c:pt idx="3">
                  <c:v>1.1111111111111294E-2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0.23472222222222239</c:v>
                </c:pt>
                <c:pt idx="1">
                  <c:v>0.22291666666666676</c:v>
                </c:pt>
                <c:pt idx="2">
                  <c:v>0.23333333333333328</c:v>
                </c:pt>
                <c:pt idx="3">
                  <c:v>0.21875</c:v>
                </c:pt>
                <c:pt idx="4">
                  <c:v>0.22916666666666663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6.2499999999998668E-3</c:v>
                </c:pt>
                <c:pt idx="2">
                  <c:v>6.2500000000000888E-3</c:v>
                </c:pt>
                <c:pt idx="3">
                  <c:v>6.2499999999998668E-3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1.388888888888884E-2</c:v>
                </c:pt>
                <c:pt idx="1">
                  <c:v>2.0833333333333259E-2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0.33749999999999997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2.7083333333333348E-2</c:v>
                </c:pt>
                <c:pt idx="1">
                  <c:v>4.1666666666666685E-2</c:v>
                </c:pt>
                <c:pt idx="2">
                  <c:v>3.4722222222222154E-2</c:v>
                </c:pt>
                <c:pt idx="3">
                  <c:v>3.3333333333333381E-2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1.7361111111111105E-2</c:v>
                </c:pt>
                <c:pt idx="1">
                  <c:v>1.041666666666663E-2</c:v>
                </c:pt>
                <c:pt idx="2">
                  <c:v>1.1111111111111183E-2</c:v>
                </c:pt>
                <c:pt idx="3">
                  <c:v>1.1805555555555569E-2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0.20138888888888895</c:v>
                </c:pt>
                <c:pt idx="1">
                  <c:v>0.22499999999999992</c:v>
                </c:pt>
                <c:pt idx="2">
                  <c:v>0.13263888888888892</c:v>
                </c:pt>
                <c:pt idx="3">
                  <c:v>0.19791666666666669</c:v>
                </c:pt>
                <c:pt idx="4">
                  <c:v>0.13194444444444436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7.6388888888889728E-3</c:v>
                </c:pt>
                <c:pt idx="2">
                  <c:v>5.5555555555555358E-3</c:v>
                </c:pt>
                <c:pt idx="3">
                  <c:v>1.041666666666663E-2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1.8749999999999933E-2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5.0694444444445153E-2</c:v>
                </c:pt>
                <c:pt idx="1">
                  <c:v>1.388888888888884E-2</c:v>
                </c:pt>
                <c:pt idx="2">
                  <c:v>0.11458333333333326</c:v>
                </c:pt>
                <c:pt idx="3">
                  <c:v>4.7222222222223054E-2</c:v>
                </c:pt>
                <c:pt idx="4">
                  <c:v>0.11805555555555636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0.34375</c:v>
                </c:pt>
                <c:pt idx="1">
                  <c:v>0.34027777777777773</c:v>
                </c:pt>
                <c:pt idx="2">
                  <c:v>0.33680555555555558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3.125E-2</c:v>
                </c:pt>
                <c:pt idx="2">
                  <c:v>2.7777777777777735E-2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1.3888888888888951E-2</c:v>
                </c:pt>
                <c:pt idx="1">
                  <c:v>6.2500000000000333E-3</c:v>
                </c:pt>
                <c:pt idx="2">
                  <c:v>1.4583333333333337E-2</c:v>
                </c:pt>
                <c:pt idx="3">
                  <c:v>1.3888888888888951E-2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0.23055555555555557</c:v>
                </c:pt>
                <c:pt idx="1">
                  <c:v>0.2284722222222223</c:v>
                </c:pt>
                <c:pt idx="2">
                  <c:v>0.23611111111111116</c:v>
                </c:pt>
                <c:pt idx="3">
                  <c:v>0.22569444444444436</c:v>
                </c:pt>
                <c:pt idx="4">
                  <c:v>0.22708333333333325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1.1805555555555514E-2</c:v>
                </c:pt>
                <c:pt idx="2">
                  <c:v>6.2499999999999778E-3</c:v>
                </c:pt>
                <c:pt idx="3">
                  <c:v>1.0416666666666741E-2</c:v>
                </c:pt>
                <c:pt idx="4">
                  <c:v>5.5555555555555358E-3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0.34166666666666662</c:v>
                </c:pt>
                <c:pt idx="1">
                  <c:v>0.34027777777777773</c:v>
                </c:pt>
                <c:pt idx="2">
                  <c:v>0.33888888888888885</c:v>
                </c:pt>
                <c:pt idx="3">
                  <c:v>0.34027777777777773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2.2916666666666696E-2</c:v>
                </c:pt>
                <c:pt idx="1">
                  <c:v>3.125E-2</c:v>
                </c:pt>
                <c:pt idx="2">
                  <c:v>2.5694444444444464E-2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8.3333333333333037E-3</c:v>
                </c:pt>
                <c:pt idx="1">
                  <c:v>5.5555555555556468E-3</c:v>
                </c:pt>
                <c:pt idx="2">
                  <c:v>1.3194444444444453E-2</c:v>
                </c:pt>
                <c:pt idx="3">
                  <c:v>1.5277777777777835E-2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0.23125000000000001</c:v>
                </c:pt>
                <c:pt idx="1">
                  <c:v>0.22847222222222213</c:v>
                </c:pt>
                <c:pt idx="2">
                  <c:v>0.23472222222222217</c:v>
                </c:pt>
                <c:pt idx="3">
                  <c:v>0.2312499999999999</c:v>
                </c:pt>
                <c:pt idx="4">
                  <c:v>0.2284722222222223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1.0416666666666741E-2</c:v>
                </c:pt>
                <c:pt idx="1">
                  <c:v>1.2500000000000067E-2</c:v>
                </c:pt>
                <c:pt idx="2">
                  <c:v>9.0277777777778567E-3</c:v>
                </c:pt>
                <c:pt idx="3">
                  <c:v>3.4722222222223209E-3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2.2222222222222254E-2</c:v>
                </c:pt>
                <c:pt idx="2">
                  <c:v>2.2916666666666696E-2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2.0833333333333259E-2</c:v>
                </c:pt>
                <c:pt idx="1">
                  <c:v>1.9444444444444375E-2</c:v>
                </c:pt>
                <c:pt idx="2">
                  <c:v>1.5277777777777724E-2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9.7222222222221877E-3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8.3333333333328596E-3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9.0277777777778012E-3</c:v>
                </c:pt>
                <c:pt idx="1">
                  <c:v>9.7222222222222432E-3</c:v>
                </c:pt>
                <c:pt idx="2">
                  <c:v>9.0277777777778012E-3</c:v>
                </c:pt>
                <c:pt idx="3">
                  <c:v>1.1805555555555569E-2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0.18888888888888883</c:v>
                </c:pt>
                <c:pt idx="1">
                  <c:v>0.18194444444444441</c:v>
                </c:pt>
                <c:pt idx="2">
                  <c:v>0.18888888888888883</c:v>
                </c:pt>
                <c:pt idx="3">
                  <c:v>0.17569444444444443</c:v>
                </c:pt>
                <c:pt idx="4">
                  <c:v>0.17777777777777781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0.33749999999999997</c:v>
                </c:pt>
                <c:pt idx="2">
                  <c:v>0.3347222222222222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3.8194444444444531E-2</c:v>
                </c:pt>
                <c:pt idx="2">
                  <c:v>4.8611111111111105E-2</c:v>
                </c:pt>
                <c:pt idx="3">
                  <c:v>6.9444444444444198E-3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2.1527777777777812E-2</c:v>
                </c:pt>
                <c:pt idx="1">
                  <c:v>8.3333333333333037E-3</c:v>
                </c:pt>
                <c:pt idx="2">
                  <c:v>4.1666666666666519E-3</c:v>
                </c:pt>
                <c:pt idx="3">
                  <c:v>2.1527777777777812E-2</c:v>
                </c:pt>
                <c:pt idx="4">
                  <c:v>5.5555555555556468E-3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0.1743055555555556</c:v>
                </c:pt>
                <c:pt idx="1">
                  <c:v>0.21111111111111108</c:v>
                </c:pt>
                <c:pt idx="2">
                  <c:v>0.19722222222222224</c:v>
                </c:pt>
                <c:pt idx="3">
                  <c:v>0.1743055555555556</c:v>
                </c:pt>
                <c:pt idx="4">
                  <c:v>0.21527777777777773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5.5555555555555358E-3</c:v>
                </c:pt>
                <c:pt idx="1">
                  <c:v>2.7777777777777679E-3</c:v>
                </c:pt>
                <c:pt idx="2">
                  <c:v>3.4722222222222099E-3</c:v>
                </c:pt>
                <c:pt idx="3">
                  <c:v>5.5555555555555358E-3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2.430555555555558E-2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8.3333333333333037E-2</c:v>
                </c:pt>
                <c:pt idx="1">
                  <c:v>3.472222222222221E-2</c:v>
                </c:pt>
                <c:pt idx="2">
                  <c:v>4.5138888888888618E-2</c:v>
                </c:pt>
                <c:pt idx="3">
                  <c:v>8.3333333333333037E-2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0.64583333333333337</c:v>
                </c:pt>
                <c:pt idx="1">
                  <c:v>0.64583333333333337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4.4444444444444398E-2</c:v>
                </c:pt>
                <c:pt idx="1">
                  <c:v>3.4722222222222099E-2</c:v>
                </c:pt>
                <c:pt idx="2">
                  <c:v>4.3749999999999956E-2</c:v>
                </c:pt>
                <c:pt idx="3">
                  <c:v>4.166666666666663E-2</c:v>
                </c:pt>
                <c:pt idx="4">
                  <c:v>3.4722222222222099E-2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1.6666666666666607E-2</c:v>
                </c:pt>
                <c:pt idx="1">
                  <c:v>1.3888888888889062E-2</c:v>
                </c:pt>
                <c:pt idx="2">
                  <c:v>6.9444444444444198E-3</c:v>
                </c:pt>
                <c:pt idx="3">
                  <c:v>1.736111111111116E-2</c:v>
                </c:pt>
                <c:pt idx="4">
                  <c:v>1.2500000000000067E-2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0.22013888888888899</c:v>
                </c:pt>
                <c:pt idx="1">
                  <c:v>0.21666666666666656</c:v>
                </c:pt>
                <c:pt idx="2">
                  <c:v>0.20763888888888893</c:v>
                </c:pt>
                <c:pt idx="3">
                  <c:v>0.22222222222222221</c:v>
                </c:pt>
                <c:pt idx="4">
                  <c:v>0.21805555555555556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5.5555555555555358E-3</c:v>
                </c:pt>
                <c:pt idx="3">
                  <c:v>6.9444444444444198E-3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2.7777777777777679E-2</c:v>
                </c:pt>
                <c:pt idx="1">
                  <c:v>3.125E-2</c:v>
                </c:pt>
                <c:pt idx="2">
                  <c:v>3.125E-2</c:v>
                </c:pt>
                <c:pt idx="3">
                  <c:v>2.2916666666666585E-2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2.430555555555558E-2</c:v>
                </c:pt>
                <c:pt idx="1">
                  <c:v>3.4722222222222321E-2</c:v>
                </c:pt>
                <c:pt idx="2">
                  <c:v>4.513888888888884E-2</c:v>
                </c:pt>
                <c:pt idx="3">
                  <c:v>2.9166666666666674E-2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2.0833333333333315E-2</c:v>
                </c:pt>
                <c:pt idx="1">
                  <c:v>2.0833333333333315E-2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2.083333333333337E-2</c:v>
                </c:pt>
                <c:pt idx="1">
                  <c:v>1.3888888888888951E-2</c:v>
                </c:pt>
                <c:pt idx="2">
                  <c:v>1.388888888888884E-2</c:v>
                </c:pt>
                <c:pt idx="3">
                  <c:v>2.083333333333337E-2</c:v>
                </c:pt>
                <c:pt idx="4">
                  <c:v>2.083333333333337E-2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0.18402777777777773</c:v>
                </c:pt>
                <c:pt idx="1">
                  <c:v>0.23958333333333331</c:v>
                </c:pt>
                <c:pt idx="2">
                  <c:v>0.25</c:v>
                </c:pt>
                <c:pt idx="3">
                  <c:v>0.21597222222222218</c:v>
                </c:pt>
                <c:pt idx="4">
                  <c:v>0.18749999999999994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1.736111111111116E-2</c:v>
                </c:pt>
                <c:pt idx="1">
                  <c:v>1.388888888888884E-2</c:v>
                </c:pt>
                <c:pt idx="2">
                  <c:v>1.3888888888888951E-2</c:v>
                </c:pt>
                <c:pt idx="3">
                  <c:v>1.6666666666666718E-2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2.4305555555555469E-2</c:v>
                </c:pt>
                <c:pt idx="1">
                  <c:v>2.430555555555558E-2</c:v>
                </c:pt>
                <c:pt idx="2">
                  <c:v>2.2916666666666696E-2</c:v>
                </c:pt>
                <c:pt idx="3">
                  <c:v>2.777777777777779E-2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7.2916666666666741E-2</c:v>
                </c:pt>
                <c:pt idx="1">
                  <c:v>2.7777777777778012E-2</c:v>
                </c:pt>
                <c:pt idx="2">
                  <c:v>1.5277777777777946E-2</c:v>
                </c:pt>
                <c:pt idx="3">
                  <c:v>3.819444444444442E-2</c:v>
                </c:pt>
                <c:pt idx="4">
                  <c:v>7.2916666666666741E-2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6:14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5:29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6:29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6:19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6:52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7:03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106%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6:35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6:23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10</xdr:row>
      <xdr:rowOff>228600</xdr:rowOff>
    </xdr:from>
    <xdr:to>
      <xdr:col>7</xdr:col>
      <xdr:colOff>255270</xdr:colOff>
      <xdr:row>17</xdr:row>
      <xdr:rowOff>190500</xdr:rowOff>
    </xdr:to>
    <xdr:cxnSp macro="">
      <xdr:nvCxnSpPr>
        <xdr:cNvPr id="9" name="Conector angular 8"/>
        <xdr:cNvCxnSpPr/>
      </xdr:nvCxnSpPr>
      <xdr:spPr>
        <a:xfrm rot="16200000" flipV="1">
          <a:off x="3175635" y="309562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/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99060</xdr:colOff>
      <xdr:row>15</xdr:row>
      <xdr:rowOff>53340</xdr:rowOff>
    </xdr:from>
    <xdr:to>
      <xdr:col>15</xdr:col>
      <xdr:colOff>213360</xdr:colOff>
      <xdr:row>18</xdr:row>
      <xdr:rowOff>68580</xdr:rowOff>
    </xdr:to>
    <xdr:sp macro="" textlink="">
      <xdr:nvSpPr>
        <xdr:cNvPr id="11" name="Rectángulo 10"/>
        <xdr:cNvSpPr/>
      </xdr:nvSpPr>
      <xdr:spPr>
        <a:xfrm>
          <a:off x="3055620" y="337566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/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/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7</xdr:col>
      <xdr:colOff>53340</xdr:colOff>
      <xdr:row>1</xdr:row>
      <xdr:rowOff>83820</xdr:rowOff>
    </xdr:from>
    <xdr:to>
      <xdr:col>18</xdr:col>
      <xdr:colOff>167640</xdr:colOff>
      <xdr:row>4</xdr:row>
      <xdr:rowOff>152400</xdr:rowOff>
    </xdr:to>
    <xdr:sp macro="" textlink="">
      <xdr:nvSpPr>
        <xdr:cNvPr id="13" name="Rectángulo 12"/>
        <xdr:cNvSpPr/>
      </xdr:nvSpPr>
      <xdr:spPr>
        <a:xfrm>
          <a:off x="3787140" y="28194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6</xdr:col>
      <xdr:colOff>182880</xdr:colOff>
      <xdr:row>3</xdr:row>
      <xdr:rowOff>19050</xdr:rowOff>
    </xdr:from>
    <xdr:to>
      <xdr:col>7</xdr:col>
      <xdr:colOff>53340</xdr:colOff>
      <xdr:row>9</xdr:row>
      <xdr:rowOff>175260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3034665" y="123634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/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5:50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5:51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5:56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5:44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5:59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6:03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10:47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10:26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10:34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10:37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6:11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6:09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101%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6:06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6:15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tabSelected="1" zoomScale="60" zoomScaleNormal="60" workbookViewId="0">
      <selection activeCell="H8" sqref="H8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44879</v>
      </c>
      <c r="D3" s="37">
        <v>0.33680555555555558</v>
      </c>
      <c r="E3" s="37">
        <v>0.36458333333333331</v>
      </c>
      <c r="F3" s="37">
        <v>0.38194444444444442</v>
      </c>
      <c r="G3" s="37">
        <v>0.61111111111111105</v>
      </c>
      <c r="H3" s="37">
        <v>0.61944444444444446</v>
      </c>
      <c r="I3" s="37">
        <v>0.64930555555555558</v>
      </c>
      <c r="J3" s="46">
        <v>0.65972222222222199</v>
      </c>
      <c r="K3" s="47"/>
      <c r="L3" s="48"/>
      <c r="M3" s="48"/>
      <c r="N3" s="49" t="s">
        <v>15</v>
      </c>
      <c r="O3" s="4">
        <f>Tabla5[[#This Row],[FECHA]]</f>
        <v>44879</v>
      </c>
      <c r="P3" s="7">
        <f>D3</f>
        <v>0.33680555555555558</v>
      </c>
      <c r="Q3" s="7">
        <f>E3-D3</f>
        <v>2.7777777777777735E-2</v>
      </c>
      <c r="R3" s="7">
        <f>F3-E3</f>
        <v>1.7361111111111105E-2</v>
      </c>
      <c r="S3" s="7">
        <f>G3-F3</f>
        <v>0.22916666666666663</v>
      </c>
      <c r="T3" s="7">
        <f>+Tabla5[[#This Row],[ALMUERZO]]-Tabla5[[#This Row],[TERMINO ACT. AM]]</f>
        <v>8.3333333333334147E-3</v>
      </c>
      <c r="U3" s="7">
        <f>+Tabla5[[#This Row],[INICIO ACTIVIDADES PM]]-Tabla5[[#This Row],[ALMUERZO]]</f>
        <v>2.9861111111111116E-2</v>
      </c>
      <c r="V3" s="7">
        <f>+Tabla5[[#This Row],[TERMINO ACTIVIDADES PM]]-Tabla5[[#This Row],[INICIO ACTIVIDADES PM]]</f>
        <v>1.0416666666666408E-2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44880</v>
      </c>
      <c r="D4" s="37">
        <v>0.33749999999999997</v>
      </c>
      <c r="E4" s="37">
        <v>0.36249999999999999</v>
      </c>
      <c r="F4" s="37">
        <v>0.37847222222222227</v>
      </c>
      <c r="G4" s="37">
        <v>0.59097222222222223</v>
      </c>
      <c r="H4" s="37">
        <v>0.59722222222222221</v>
      </c>
      <c r="I4" s="37">
        <v>0.62152777777777779</v>
      </c>
      <c r="J4" s="46">
        <v>0.65972222222222199</v>
      </c>
      <c r="K4" s="47"/>
      <c r="M4" s="5"/>
      <c r="N4" s="5" t="s">
        <v>16</v>
      </c>
      <c r="O4" s="4">
        <f>Tabla5[[#This Row],[FECHA]]</f>
        <v>44880</v>
      </c>
      <c r="P4" s="7">
        <f>D4</f>
        <v>0.33749999999999997</v>
      </c>
      <c r="Q4" s="7">
        <f t="shared" ref="Q4:Q7" si="0">E4-D4</f>
        <v>2.5000000000000022E-2</v>
      </c>
      <c r="R4" s="7">
        <f t="shared" ref="R4:R7" si="1">F4-E4</f>
        <v>1.5972222222222276E-2</v>
      </c>
      <c r="S4" s="7">
        <f t="shared" ref="S4:S7" si="2">G4-F4</f>
        <v>0.21249999999999997</v>
      </c>
      <c r="T4" s="7">
        <f>+Tabla5[[#This Row],[ALMUERZO]]-Tabla5[[#This Row],[TERMINO ACT. AM]]</f>
        <v>6.2499999999999778E-3</v>
      </c>
      <c r="U4" s="7">
        <f>+Tabla5[[#This Row],[INICIO ACTIVIDADES PM]]-Tabla5[[#This Row],[ALMUERZO]]</f>
        <v>2.430555555555558E-2</v>
      </c>
      <c r="V4" s="7">
        <f>+Tabla5[[#This Row],[TERMINO ACTIVIDADES PM]]-Tabla5[[#This Row],[INICIO ACTIVIDADES PM]]</f>
        <v>3.8194444444444198E-2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44881</v>
      </c>
      <c r="D5" s="37">
        <v>0.3347222222222222</v>
      </c>
      <c r="E5" s="37">
        <v>0.3611111111111111</v>
      </c>
      <c r="F5" s="37">
        <v>0.375</v>
      </c>
      <c r="G5" s="37">
        <v>0.61249999999999993</v>
      </c>
      <c r="H5" s="37">
        <v>0.61805555555555558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44881</v>
      </c>
      <c r="P5" s="7">
        <f>D5</f>
        <v>0.3347222222222222</v>
      </c>
      <c r="Q5" s="7">
        <f t="shared" si="0"/>
        <v>2.6388888888888906E-2</v>
      </c>
      <c r="R5" s="7">
        <f t="shared" si="1"/>
        <v>1.3888888888888895E-2</v>
      </c>
      <c r="S5" s="7">
        <f t="shared" si="2"/>
        <v>0.23749999999999993</v>
      </c>
      <c r="T5" s="7">
        <f>+Tabla5[[#This Row],[ALMUERZO]]-Tabla5[[#This Row],[TERMINO ACT. AM]]</f>
        <v>5.5555555555556468E-3</v>
      </c>
      <c r="U5" s="7">
        <f>+Tabla5[[#This Row],[INICIO ACTIVIDADES PM]]-Tabla5[[#This Row],[ALMUERZO]]</f>
        <v>3.125E-2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44882</v>
      </c>
      <c r="D6" s="37">
        <v>0.33680555555555558</v>
      </c>
      <c r="E6" s="37">
        <v>0.36249999999999999</v>
      </c>
      <c r="F6" s="37">
        <v>0.37847222222222227</v>
      </c>
      <c r="G6" s="37">
        <v>0.61249999999999993</v>
      </c>
      <c r="H6" s="37">
        <v>0.61805555555555558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44882</v>
      </c>
      <c r="P6" s="7">
        <f>D6</f>
        <v>0.33680555555555558</v>
      </c>
      <c r="Q6" s="7">
        <f t="shared" si="0"/>
        <v>2.5694444444444409E-2</v>
      </c>
      <c r="R6" s="7">
        <f t="shared" si="1"/>
        <v>1.5972222222222276E-2</v>
      </c>
      <c r="S6" s="7">
        <f t="shared" si="2"/>
        <v>0.23402777777777767</v>
      </c>
      <c r="T6" s="7">
        <f>+Tabla5[[#This Row],[ALMUERZO]]-Tabla5[[#This Row],[TERMINO ACT. AM]]</f>
        <v>5.5555555555556468E-3</v>
      </c>
      <c r="U6" s="7">
        <f>+Tabla5[[#This Row],[INICIO ACTIVIDADES PM]]-Tabla5[[#This Row],[ALMUERZO]]</f>
        <v>3.125E-2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44883</v>
      </c>
      <c r="D7" s="37">
        <v>0.33680555555555558</v>
      </c>
      <c r="E7" s="37">
        <v>0.3611111111111111</v>
      </c>
      <c r="F7" s="37">
        <v>0.38055555555555554</v>
      </c>
      <c r="G7" s="37">
        <v>0.61111111111111105</v>
      </c>
      <c r="H7" s="37">
        <v>0.62152777777777779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44883</v>
      </c>
      <c r="P7" s="7">
        <f>D7</f>
        <v>0.33680555555555558</v>
      </c>
      <c r="Q7" s="7">
        <f t="shared" si="0"/>
        <v>2.4305555555555525E-2</v>
      </c>
      <c r="R7" s="7">
        <f t="shared" si="1"/>
        <v>1.9444444444444431E-2</v>
      </c>
      <c r="S7" s="7">
        <f t="shared" si="2"/>
        <v>0.23055555555555551</v>
      </c>
      <c r="T7" s="7">
        <f>+Tabla5[[#This Row],[ALMUERZO]]-Tabla5[[#This Row],[TERMINO ACT. AM]]</f>
        <v>1.0416666666666741E-2</v>
      </c>
      <c r="U7" s="7">
        <f>+Tabla5[[#This Row],[INICIO ACTIVIDADES PM]]-Tabla5[[#This Row],[ALMUERZO]]</f>
        <v>2.430555555555558E-2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44884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44885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0.23958333333333304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0.25069444444444416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0.24791666666666634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0.24444444444444408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0.24444444444444435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0.24541666666666639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0.98166666666666558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5" sqref="I5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44879</v>
      </c>
      <c r="D3" s="37">
        <v>0.64583333333333337</v>
      </c>
      <c r="E3" s="37">
        <v>0.66666666666666663</v>
      </c>
      <c r="F3" s="37">
        <v>0.69444444444444453</v>
      </c>
      <c r="G3" s="37">
        <v>0.82986111111111116</v>
      </c>
      <c r="H3" s="37">
        <v>0.83680555555555547</v>
      </c>
      <c r="I3" s="37">
        <v>0.86458333333333337</v>
      </c>
      <c r="J3" s="46">
        <v>0.98611111111111116</v>
      </c>
      <c r="K3" s="47" t="s">
        <v>91</v>
      </c>
      <c r="L3" s="53"/>
      <c r="M3" s="53"/>
      <c r="N3" s="57" t="s">
        <v>15</v>
      </c>
      <c r="O3" s="4">
        <v>44410</v>
      </c>
      <c r="P3" s="7">
        <f>D3</f>
        <v>0.64583333333333337</v>
      </c>
      <c r="Q3" s="7">
        <f t="shared" ref="Q3:S7" si="0">E3-D3</f>
        <v>2.0833333333333259E-2</v>
      </c>
      <c r="R3" s="7">
        <f t="shared" si="0"/>
        <v>2.7777777777777901E-2</v>
      </c>
      <c r="S3" s="7">
        <f t="shared" si="0"/>
        <v>0.13541666666666663</v>
      </c>
      <c r="T3" s="7">
        <f>+Tabla538394041[[#This Row],[ALMUERZO]]-Tabla538394041[[#This Row],[TERMINO ACT. AM]]</f>
        <v>6.9444444444443088E-3</v>
      </c>
      <c r="U3" s="7">
        <f>+Tabla538394041[[#This Row],[INICIO ACTIVIDADES PM]]-Tabla538394041[[#This Row],[ALMUERZO]]</f>
        <v>2.7777777777777901E-2</v>
      </c>
      <c r="V3" s="7">
        <f>+Tabla538394041[[#This Row],[TERMINO ACTIVIDADES PM]]-Tabla538394041[[#This Row],[INICIO ACTIVIDADES PM]]</f>
        <v>0.12152777777777779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44880</v>
      </c>
      <c r="D4" s="37">
        <v>0.64583333333333337</v>
      </c>
      <c r="E4" s="37">
        <v>0.66666666666666663</v>
      </c>
      <c r="F4" s="37">
        <v>0.67986111111111114</v>
      </c>
      <c r="G4" s="37">
        <v>0.80902777777777779</v>
      </c>
      <c r="H4" s="37">
        <v>0.81944444444444453</v>
      </c>
      <c r="I4" s="37">
        <v>0.84861111111111109</v>
      </c>
      <c r="J4" s="46">
        <v>0.98958333333333337</v>
      </c>
      <c r="K4" s="47" t="s">
        <v>91</v>
      </c>
      <c r="M4" s="5"/>
      <c r="N4" s="5" t="s">
        <v>16</v>
      </c>
      <c r="O4" s="4">
        <v>44411</v>
      </c>
      <c r="P4" s="7">
        <f>D4</f>
        <v>0.64583333333333337</v>
      </c>
      <c r="Q4" s="7">
        <f t="shared" si="0"/>
        <v>2.0833333333333259E-2</v>
      </c>
      <c r="R4" s="7">
        <f t="shared" si="0"/>
        <v>1.3194444444444509E-2</v>
      </c>
      <c r="S4" s="7">
        <f t="shared" si="0"/>
        <v>0.12916666666666665</v>
      </c>
      <c r="T4" s="7">
        <f>+Tabla538394041[[#This Row],[ALMUERZO]]-Tabla538394041[[#This Row],[TERMINO ACT. AM]]</f>
        <v>1.0416666666666741E-2</v>
      </c>
      <c r="U4" s="7">
        <f>+Tabla538394041[[#This Row],[INICIO ACTIVIDADES PM]]-Tabla538394041[[#This Row],[ALMUERZO]]</f>
        <v>2.9166666666666563E-2</v>
      </c>
      <c r="V4" s="7">
        <f>+Tabla538394041[[#This Row],[TERMINO ACTIVIDADES PM]]-Tabla538394041[[#This Row],[INICIO ACTIVIDADES PM]]</f>
        <v>0.14097222222222228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44881</v>
      </c>
      <c r="D5" s="37">
        <v>0.64583333333333337</v>
      </c>
      <c r="E5" s="37">
        <v>0.66666666666666663</v>
      </c>
      <c r="F5" s="37">
        <v>0.72361111111111109</v>
      </c>
      <c r="G5" s="37">
        <v>0.85277777777777775</v>
      </c>
      <c r="H5" s="37">
        <v>0.85763888888888884</v>
      </c>
      <c r="I5" s="37">
        <v>0.88194444444444453</v>
      </c>
      <c r="J5" s="46">
        <v>0.98125000000000007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5.6944444444444464E-2</v>
      </c>
      <c r="S5" s="7">
        <f t="shared" si="0"/>
        <v>0.12916666666666665</v>
      </c>
      <c r="T5" s="7">
        <f>+Tabla538394041[[#This Row],[ALMUERZO]]-Tabla538394041[[#This Row],[TERMINO ACT. AM]]</f>
        <v>4.8611111111110938E-3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9.9305555555555536E-2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44882</v>
      </c>
      <c r="D6" s="37">
        <v>0.64583333333333337</v>
      </c>
      <c r="E6" s="37">
        <v>0.66666666666666663</v>
      </c>
      <c r="F6" s="37">
        <v>0.69236111111111109</v>
      </c>
      <c r="G6" s="37">
        <v>0.8305555555555556</v>
      </c>
      <c r="H6" s="37">
        <v>0.83680555555555547</v>
      </c>
      <c r="I6" s="37">
        <v>0.86458333333333337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2.5694444444444464E-2</v>
      </c>
      <c r="S6" s="7">
        <f t="shared" si="0"/>
        <v>0.13819444444444451</v>
      </c>
      <c r="T6" s="7">
        <f>+Tabla538394041[[#This Row],[ALMUERZO]]-Tabla538394041[[#This Row],[TERMINO ACT. AM]]</f>
        <v>6.2499999999998668E-3</v>
      </c>
      <c r="U6" s="7">
        <f>+Tabla538394041[[#This Row],[INICIO ACTIVIDADES PM]]-Tabla538394041[[#This Row],[ALMUERZO]]</f>
        <v>2.7777777777777901E-2</v>
      </c>
      <c r="V6" s="7">
        <f>+Tabla538394041[[#This Row],[TERMINO ACTIVIDADES PM]]-Tabla538394041[[#This Row],[INICIO ACTIVIDADES PM]]</f>
        <v>0.12152777777777779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44883</v>
      </c>
      <c r="D7" s="37">
        <v>0.64583333333333337</v>
      </c>
      <c r="E7" s="37">
        <v>0.66666666666666663</v>
      </c>
      <c r="F7" s="37">
        <v>0.68958333333333333</v>
      </c>
      <c r="G7" s="37">
        <v>0.83819444444444446</v>
      </c>
      <c r="H7" s="37">
        <v>0.84722222222222221</v>
      </c>
      <c r="I7" s="37">
        <v>0.88541666666666663</v>
      </c>
      <c r="J7" s="46">
        <v>0.98472222222222217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2.2916666666666696E-2</v>
      </c>
      <c r="S7" s="7">
        <f t="shared" si="0"/>
        <v>0.14861111111111114</v>
      </c>
      <c r="T7" s="7">
        <f>+Tabla538394041[[#This Row],[ALMUERZO]]-Tabla538394041[[#This Row],[TERMINO ACT. AM]]</f>
        <v>9.0277777777777457E-3</v>
      </c>
      <c r="U7" s="7">
        <f>+Tabla538394041[[#This Row],[INICIO ACTIVIDADES PM]]-Tabla538394041[[#This Row],[ALMUERZO]]</f>
        <v>3.819444444444442E-2</v>
      </c>
      <c r="V7" s="7">
        <f>+Tabla538394041[[#This Row],[TERMINO ACTIVIDADES PM]]-Tabla538394041[[#This Row],[INICIO ACTIVIDADES PM]]</f>
        <v>9.9305555555555536E-2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0.25694444444444442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0.27013888888888893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0.22847222222222219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0.2597222222222223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0.24791666666666667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0.25263888888888897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1.0105555555555559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8" t="s">
        <v>105</v>
      </c>
      <c r="J28" s="179" t="s">
        <v>103</v>
      </c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0"/>
      <c r="T30" s="3"/>
    </row>
    <row r="31" spans="1:20" ht="15.6" customHeight="1" x14ac:dyDescent="0.3">
      <c r="I31" s="178"/>
      <c r="J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6" sqref="F6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44879</v>
      </c>
      <c r="D3" s="37">
        <v>0.3125</v>
      </c>
      <c r="E3" s="37">
        <v>0.33819444444444446</v>
      </c>
      <c r="F3" s="37">
        <v>0.34930555555555554</v>
      </c>
      <c r="G3" s="56">
        <v>0.52777777777777779</v>
      </c>
      <c r="H3" s="37">
        <v>0.54166666666666663</v>
      </c>
      <c r="I3" s="37">
        <v>0.57291666666666663</v>
      </c>
      <c r="J3" s="46">
        <v>0.65277777777777801</v>
      </c>
      <c r="K3" s="47"/>
      <c r="L3" s="53"/>
      <c r="M3" s="53"/>
      <c r="N3" s="57" t="s">
        <v>15</v>
      </c>
      <c r="O3" s="4">
        <f>Tabla53839404142[[#This Row],[FECHA]]</f>
        <v>44879</v>
      </c>
      <c r="P3" s="7">
        <f>D3</f>
        <v>0.3125</v>
      </c>
      <c r="Q3" s="7">
        <f t="shared" ref="Q3:S7" si="0">E3-D3</f>
        <v>2.5694444444444464E-2</v>
      </c>
      <c r="R3" s="7">
        <f t="shared" si="0"/>
        <v>1.1111111111111072E-2</v>
      </c>
      <c r="S3" s="7">
        <f t="shared" si="0"/>
        <v>0.17847222222222225</v>
      </c>
      <c r="T3" s="7">
        <f>+Tabla53839404142[[#This Row],[ALMUERZO]]-Tabla53839404142[[#This Row],[TERMINO ACT. AM]]</f>
        <v>1.388888888888884E-2</v>
      </c>
      <c r="U3" s="7">
        <f>+Tabla53839404142[[#This Row],[INICIO ACTIVIDADES PM]]-Tabla53839404142[[#This Row],[ALMUERZO]]</f>
        <v>3.125E-2</v>
      </c>
      <c r="V3" s="7">
        <f>+Tabla53839404142[[#This Row],[TERMINO ACTIVIDADES PM]]-Tabla53839404142[[#This Row],[INICIO ACTIVIDADES PM]]</f>
        <v>7.9861111111111382E-2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44880</v>
      </c>
      <c r="D4" s="37">
        <v>0.3125</v>
      </c>
      <c r="E4" s="37">
        <v>0.33333333333333331</v>
      </c>
      <c r="F4" s="37">
        <v>0.35416666666666669</v>
      </c>
      <c r="G4" s="56">
        <v>0.53472222222222221</v>
      </c>
      <c r="H4" s="37">
        <v>0.54166666666666663</v>
      </c>
      <c r="I4" s="37">
        <v>0.56944444444444442</v>
      </c>
      <c r="J4" s="46">
        <v>0.65277777777777779</v>
      </c>
      <c r="K4" s="47"/>
      <c r="M4" s="5"/>
      <c r="N4" s="5" t="s">
        <v>16</v>
      </c>
      <c r="O4" s="4">
        <f>Tabla53839404142[[#This Row],[FECHA]]</f>
        <v>44880</v>
      </c>
      <c r="P4" s="7">
        <f>D4</f>
        <v>0.3125</v>
      </c>
      <c r="Q4" s="7">
        <f t="shared" si="0"/>
        <v>2.0833333333333315E-2</v>
      </c>
      <c r="R4" s="7">
        <f t="shared" si="0"/>
        <v>2.083333333333337E-2</v>
      </c>
      <c r="S4" s="7">
        <f t="shared" si="0"/>
        <v>0.18055555555555552</v>
      </c>
      <c r="T4" s="7">
        <f>+Tabla53839404142[[#This Row],[ALMUERZO]]-Tabla53839404142[[#This Row],[TERMINO ACT. AM]]</f>
        <v>6.9444444444444198E-3</v>
      </c>
      <c r="U4" s="7">
        <f>+Tabla53839404142[[#This Row],[INICIO ACTIVIDADES PM]]-Tabla53839404142[[#This Row],[ALMUERZO]]</f>
        <v>2.777777777777779E-2</v>
      </c>
      <c r="V4" s="7">
        <f>+Tabla53839404142[[#This Row],[TERMINO ACTIVIDADES PM]]-Tabla53839404142[[#This Row],[INICIO ACTIVIDADES PM]]</f>
        <v>8.333333333333337E-2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44881</v>
      </c>
      <c r="D5" s="37">
        <v>0.3125</v>
      </c>
      <c r="E5" s="37">
        <v>0.33680555555555558</v>
      </c>
      <c r="F5" s="37">
        <v>0.35555555555555557</v>
      </c>
      <c r="G5" s="56">
        <v>0.51041666666666663</v>
      </c>
      <c r="H5" s="37">
        <v>0.52083333333333337</v>
      </c>
      <c r="I5" s="37">
        <v>0.55208333333333337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44881</v>
      </c>
      <c r="P5" s="7">
        <f>D5</f>
        <v>0.3125</v>
      </c>
      <c r="Q5" s="7">
        <f t="shared" si="0"/>
        <v>2.430555555555558E-2</v>
      </c>
      <c r="R5" s="7">
        <f t="shared" si="0"/>
        <v>1.8749999999999989E-2</v>
      </c>
      <c r="S5" s="7">
        <f t="shared" si="0"/>
        <v>0.15486111111111106</v>
      </c>
      <c r="T5" s="7">
        <f>+Tabla53839404142[[#This Row],[ALMUERZO]]-Tabla53839404142[[#This Row],[TERMINO ACT. AM]]</f>
        <v>1.0416666666666741E-2</v>
      </c>
      <c r="U5" s="7">
        <f>+Tabla53839404142[[#This Row],[INICIO ACTIVIDADES PM]]-Tabla53839404142[[#This Row],[ALMUERZO]]</f>
        <v>3.125E-2</v>
      </c>
      <c r="V5" s="7">
        <f>+Tabla53839404142[[#This Row],[TERMINO ACTIVIDADES PM]]-Tabla53839404142[[#This Row],[INICIO ACTIVIDADES PM]]</f>
        <v>0.10069444444444464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44882</v>
      </c>
      <c r="D6" s="37">
        <v>0.3125</v>
      </c>
      <c r="E6" s="37">
        <v>0.33333333333333331</v>
      </c>
      <c r="F6" s="37">
        <v>0.34583333333333338</v>
      </c>
      <c r="G6" s="37">
        <v>0.52777777777777779</v>
      </c>
      <c r="H6" s="37">
        <v>0.54166666666666663</v>
      </c>
      <c r="I6" s="37">
        <v>0.57291666666666663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44882</v>
      </c>
      <c r="P6" s="7">
        <f>D6</f>
        <v>0.3125</v>
      </c>
      <c r="Q6" s="7">
        <f t="shared" si="0"/>
        <v>2.0833333333333315E-2</v>
      </c>
      <c r="R6" s="7">
        <f t="shared" si="0"/>
        <v>1.2500000000000067E-2</v>
      </c>
      <c r="S6" s="7">
        <f t="shared" si="0"/>
        <v>0.18194444444444441</v>
      </c>
      <c r="T6" s="7">
        <f>+Tabla53839404142[[#This Row],[ALMUERZO]]-Tabla53839404142[[#This Row],[TERMINO ACT. AM]]</f>
        <v>1.388888888888884E-2</v>
      </c>
      <c r="U6" s="7">
        <f>+Tabla53839404142[[#This Row],[INICIO ACTIVIDADES PM]]-Tabla53839404142[[#This Row],[ALMUERZO]]</f>
        <v>3.125E-2</v>
      </c>
      <c r="V6" s="7">
        <f>+Tabla53839404142[[#This Row],[TERMINO ACTIVIDADES PM]]-Tabla53839404142[[#This Row],[INICIO ACTIVIDADES PM]]</f>
        <v>7.9861111111111382E-2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44883</v>
      </c>
      <c r="D7" s="37">
        <v>0.3125</v>
      </c>
      <c r="E7" s="37">
        <v>0.33333333333333331</v>
      </c>
      <c r="F7" s="37">
        <v>0.35069444444444442</v>
      </c>
      <c r="G7" s="56">
        <v>0.53194444444444444</v>
      </c>
      <c r="H7" s="37">
        <v>0.54166666666666663</v>
      </c>
      <c r="I7" s="37">
        <v>0.5708333333333333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44883</v>
      </c>
      <c r="P7" s="7">
        <f>D7</f>
        <v>0.3125</v>
      </c>
      <c r="Q7" s="7">
        <f t="shared" si="0"/>
        <v>2.0833333333333315E-2</v>
      </c>
      <c r="R7" s="7">
        <f t="shared" si="0"/>
        <v>1.7361111111111105E-2</v>
      </c>
      <c r="S7" s="7">
        <f t="shared" si="0"/>
        <v>0.18125000000000002</v>
      </c>
      <c r="T7" s="7">
        <f>+Tabla53839404142[[#This Row],[ALMUERZO]]-Tabla53839404142[[#This Row],[TERMINO ACT. AM]]</f>
        <v>9.7222222222221877E-3</v>
      </c>
      <c r="U7" s="7">
        <f>+Tabla53839404142[[#This Row],[INICIO ACTIVIDADES PM]]-Tabla53839404142[[#This Row],[ALMUERZO]]</f>
        <v>2.9166666666666674E-2</v>
      </c>
      <c r="V7" s="7">
        <f>+Tabla53839404142[[#This Row],[TERMINO ACTIVIDADES PM]]-Tabla53839404142[[#This Row],[INICIO ACTIVIDADES PM]]</f>
        <v>8.1944444444444708E-2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0.25833333333333364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0.2638888888888889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0.2555555555555557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0.26180555555555579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0.26319444444444473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0.26055555555555576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177">
        <f>G21/G22</f>
        <v>1.042222222222223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104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44879</v>
      </c>
      <c r="D3" s="37">
        <v>0.3125</v>
      </c>
      <c r="E3" s="37">
        <v>0.31944444444444448</v>
      </c>
      <c r="F3" s="37">
        <v>0.34166666666666662</v>
      </c>
      <c r="G3" s="37">
        <v>0.51041666666666663</v>
      </c>
      <c r="H3" s="37">
        <v>0.51388888888888895</v>
      </c>
      <c r="I3" s="37">
        <v>0.53472222222222221</v>
      </c>
      <c r="J3" s="46">
        <v>0.65972222222222199</v>
      </c>
      <c r="K3" s="47"/>
      <c r="L3" s="53"/>
      <c r="M3" s="53"/>
      <c r="N3" s="57" t="s">
        <v>15</v>
      </c>
      <c r="O3" s="4">
        <f>Tabla5383940414243[[#This Row],[FECHA]]</f>
        <v>44879</v>
      </c>
      <c r="P3" s="7">
        <f>D3</f>
        <v>0.3125</v>
      </c>
      <c r="Q3" s="7">
        <f>E3-D3</f>
        <v>6.9444444444444753E-3</v>
      </c>
      <c r="R3" s="7">
        <f>F3-E3</f>
        <v>2.2222222222222143E-2</v>
      </c>
      <c r="S3" s="7">
        <f>G3-F3</f>
        <v>0.16875000000000001</v>
      </c>
      <c r="T3" s="7">
        <f>+Tabla5383940414243[[#This Row],[ALMUERZO]]-Tabla5383940414243[[#This Row],[TERMINO ACT. AM]]</f>
        <v>3.4722222222223209E-3</v>
      </c>
      <c r="U3" s="7">
        <f>+Tabla5383940414243[[#This Row],[INICIO ACTIVIDADES PM]]-Tabla5383940414243[[#This Row],[ALMUERZO]]</f>
        <v>2.0833333333333259E-2</v>
      </c>
      <c r="V3" s="7">
        <f>+Tabla5383940414243[[#This Row],[TERMINO ACTIVIDADES PM]]-Tabla5383940414243[[#This Row],[INICIO ACTIVIDADES PM]]</f>
        <v>0.12499999999999978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44880</v>
      </c>
      <c r="D4" s="37">
        <v>0.31458333333333333</v>
      </c>
      <c r="E4" s="37">
        <v>0.32291666666666669</v>
      </c>
      <c r="F4" s="37">
        <v>0.34375</v>
      </c>
      <c r="G4" s="37">
        <v>0.50347222222222221</v>
      </c>
      <c r="H4" s="37">
        <v>0.50694444444444442</v>
      </c>
      <c r="I4" s="37">
        <v>0.52986111111111112</v>
      </c>
      <c r="J4" s="46">
        <v>0.65972222222222221</v>
      </c>
      <c r="K4" s="47"/>
      <c r="M4" s="5"/>
      <c r="N4" s="5" t="s">
        <v>16</v>
      </c>
      <c r="O4" s="4">
        <f>Tabla5383940414243[[#This Row],[FECHA]]</f>
        <v>44880</v>
      </c>
      <c r="P4" s="7">
        <f>D4</f>
        <v>0.31458333333333333</v>
      </c>
      <c r="Q4" s="7">
        <f t="shared" ref="Q4:S7" si="0">E4-D4</f>
        <v>8.3333333333333592E-3</v>
      </c>
      <c r="R4" s="7">
        <f t="shared" si="0"/>
        <v>2.0833333333333315E-2</v>
      </c>
      <c r="S4" s="7">
        <f t="shared" si="0"/>
        <v>0.15972222222222221</v>
      </c>
      <c r="T4" s="7">
        <f>+Tabla5383940414243[[#This Row],[ALMUERZO]]-Tabla5383940414243[[#This Row],[TERMINO ACT. AM]]</f>
        <v>3.4722222222222099E-3</v>
      </c>
      <c r="U4" s="7">
        <f>+Tabla5383940414243[[#This Row],[INICIO ACTIVIDADES PM]]-Tabla5383940414243[[#This Row],[ALMUERZO]]</f>
        <v>2.2916666666666696E-2</v>
      </c>
      <c r="V4" s="7">
        <f>+Tabla5383940414243[[#This Row],[TERMINO ACTIVIDADES PM]]-Tabla5383940414243[[#This Row],[INICIO ACTIVIDADES PM]]</f>
        <v>0.12986111111111109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44881</v>
      </c>
      <c r="D5" s="37">
        <v>0.3125</v>
      </c>
      <c r="E5" s="37">
        <v>0.3263888888888889</v>
      </c>
      <c r="F5" s="37">
        <v>0.34375</v>
      </c>
      <c r="G5" s="37">
        <v>0.52222222222222225</v>
      </c>
      <c r="H5" s="37">
        <v>0.52777777777777779</v>
      </c>
      <c r="I5" s="37">
        <v>0.55208333333333337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44881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0.17847222222222225</v>
      </c>
      <c r="T5" s="7">
        <f>+Tabla5383940414243[[#This Row],[ALMUERZO]]-Tabla5383940414243[[#This Row],[TERMINO ACT. AM]]</f>
        <v>5.5555555555555358E-3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0.10763888888888862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44882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44882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44883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44883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0.29374999999999979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0.2895833333333333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0.28611111111111087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0.28986111111111096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0.99380952380952325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44879</v>
      </c>
      <c r="D3" s="37">
        <v>0.67361111111111105</v>
      </c>
      <c r="E3" s="37">
        <v>0.68888888888888899</v>
      </c>
      <c r="F3" s="37">
        <v>0.70624999999999993</v>
      </c>
      <c r="G3" s="46">
        <v>0.92013888888888884</v>
      </c>
      <c r="H3" s="37">
        <v>0.92708333333333337</v>
      </c>
      <c r="I3" s="46">
        <v>0.95624999999999993</v>
      </c>
      <c r="J3" s="46">
        <v>0.99305555555555503</v>
      </c>
      <c r="K3" s="47"/>
      <c r="L3" s="53"/>
      <c r="M3" s="53"/>
      <c r="N3" s="57" t="s">
        <v>15</v>
      </c>
      <c r="O3" s="4">
        <f>Tabla538394041424344[[#This Row],[FECHA]]</f>
        <v>44879</v>
      </c>
      <c r="P3" s="7">
        <f>D3</f>
        <v>0.67361111111111105</v>
      </c>
      <c r="Q3" s="7">
        <f>E3-D3</f>
        <v>1.5277777777777946E-2</v>
      </c>
      <c r="R3" s="7">
        <f>F3-E3</f>
        <v>1.7361111111110938E-2</v>
      </c>
      <c r="S3" s="7">
        <f>G3-F3</f>
        <v>0.21388888888888891</v>
      </c>
      <c r="T3" s="7">
        <f>+Tabla538394041424344[[#This Row],[ALMUERZO]]-Tabla538394041424344[[#This Row],[TERMINO ACT. AM]]</f>
        <v>6.9444444444445308E-3</v>
      </c>
      <c r="U3" s="7">
        <f>+Tabla538394041424344[[#This Row],[INICIO ACTIVIDADES PM]]-Tabla538394041424344[[#This Row],[ALMUERZO]]</f>
        <v>2.9166666666666563E-2</v>
      </c>
      <c r="V3" s="7">
        <f>+Tabla538394041424344[[#This Row],[TERMINO ACTIVIDADES PM]]-Tabla538394041424344[[#This Row],[INICIO ACTIVIDADES PM]]</f>
        <v>3.6805555555555092E-2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44880</v>
      </c>
      <c r="D4" s="37">
        <v>0.67361111111111116</v>
      </c>
      <c r="E4" s="37">
        <v>0.69444444444444453</v>
      </c>
      <c r="F4" s="37">
        <v>0.71180555555555547</v>
      </c>
      <c r="G4" s="46">
        <v>0.91666666666666663</v>
      </c>
      <c r="H4" s="46">
        <v>0.92361111111111116</v>
      </c>
      <c r="I4" s="46">
        <v>0.94791666666666663</v>
      </c>
      <c r="J4" s="46">
        <v>0.99305555555555547</v>
      </c>
      <c r="K4" s="47"/>
      <c r="M4" s="5"/>
      <c r="N4" s="5" t="s">
        <v>16</v>
      </c>
      <c r="O4" s="4">
        <f>Tabla538394041424344[[#This Row],[FECHA]]</f>
        <v>44880</v>
      </c>
      <c r="P4" s="7">
        <f>D4</f>
        <v>0.67361111111111116</v>
      </c>
      <c r="Q4" s="7">
        <f t="shared" ref="Q4:S7" si="0">E4-D4</f>
        <v>2.083333333333337E-2</v>
      </c>
      <c r="R4" s="7">
        <f t="shared" si="0"/>
        <v>1.7361111111110938E-2</v>
      </c>
      <c r="S4" s="7">
        <f t="shared" si="0"/>
        <v>0.20486111111111116</v>
      </c>
      <c r="T4" s="7">
        <f>+Tabla538394041424344[[#This Row],[ALMUERZO]]-Tabla538394041424344[[#This Row],[TERMINO ACT. AM]]</f>
        <v>6.9444444444445308E-3</v>
      </c>
      <c r="U4" s="7">
        <f>+Tabla538394041424344[[#This Row],[INICIO ACTIVIDADES PM]]-Tabla538394041424344[[#This Row],[ALMUERZO]]</f>
        <v>2.4305555555555469E-2</v>
      </c>
      <c r="V4" s="7">
        <f>+Tabla538394041424344[[#This Row],[TERMINO ACTIVIDADES PM]]-Tabla538394041424344[[#This Row],[INICIO ACTIVIDADES PM]]</f>
        <v>4.513888888888884E-2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44881</v>
      </c>
      <c r="D5" s="37">
        <v>0.67708333333333337</v>
      </c>
      <c r="E5" s="37">
        <v>0.69097222222222221</v>
      </c>
      <c r="F5" s="37">
        <v>0.7104166666666667</v>
      </c>
      <c r="G5" s="46">
        <v>0.9375</v>
      </c>
      <c r="H5" s="46">
        <v>0.9458333333333333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44881</v>
      </c>
      <c r="P5" s="7">
        <f>D5</f>
        <v>0.67708333333333337</v>
      </c>
      <c r="Q5" s="7">
        <f t="shared" si="0"/>
        <v>1.388888888888884E-2</v>
      </c>
      <c r="R5" s="7">
        <f t="shared" si="0"/>
        <v>1.9444444444444486E-2</v>
      </c>
      <c r="S5" s="7">
        <f t="shared" si="0"/>
        <v>0.2270833333333333</v>
      </c>
      <c r="T5" s="7">
        <f>+Tabla538394041424344[[#This Row],[ALMUERZO]]-Tabla538394041424344[[#This Row],[TERMINO ACT. AM]]</f>
        <v>8.3333333333333037E-3</v>
      </c>
      <c r="U5" s="7">
        <f>+Tabla538394041424344[[#This Row],[INICIO ACTIVIDADES PM]]-Tabla538394041424344[[#This Row],[ALMUERZO]]</f>
        <v>2.2916666666666696E-2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44882</v>
      </c>
      <c r="D6" s="37">
        <v>0.67361111111111105</v>
      </c>
      <c r="E6" s="37">
        <v>0.69097222222222221</v>
      </c>
      <c r="F6" s="37">
        <v>0.70833333333333337</v>
      </c>
      <c r="G6" s="46">
        <v>0.92708333333333337</v>
      </c>
      <c r="H6" s="37">
        <v>0.93402777777777779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44882</v>
      </c>
      <c r="P6" s="7">
        <f>D6</f>
        <v>0.67361111111111105</v>
      </c>
      <c r="Q6" s="7">
        <f t="shared" si="0"/>
        <v>1.736111111111116E-2</v>
      </c>
      <c r="R6" s="7">
        <f t="shared" si="0"/>
        <v>1.736111111111116E-2</v>
      </c>
      <c r="S6" s="7">
        <f t="shared" si="0"/>
        <v>0.21875</v>
      </c>
      <c r="T6" s="7">
        <f>+Tabla538394041424344[[#This Row],[ALMUERZO]]-Tabla538394041424344[[#This Row],[TERMINO ACT. AM]]</f>
        <v>6.9444444444444198E-3</v>
      </c>
      <c r="U6" s="7">
        <f>+Tabla538394041424344[[#This Row],[INICIO ACTIVIDADES PM]]-Tabla538394041424344[[#This Row],[ALMUERZO]]</f>
        <v>2.5694444444444464E-2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44883</v>
      </c>
      <c r="D7" s="37">
        <v>0.67361111111111105</v>
      </c>
      <c r="E7" s="37">
        <v>0.69097222222222221</v>
      </c>
      <c r="F7" s="37">
        <v>0.70833333333333337</v>
      </c>
      <c r="G7" s="46">
        <v>0.93402777777777779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44883</v>
      </c>
      <c r="P7" s="7">
        <f>D7</f>
        <v>0.67361111111111105</v>
      </c>
      <c r="Q7" s="7">
        <f t="shared" si="0"/>
        <v>1.736111111111116E-2</v>
      </c>
      <c r="R7" s="7">
        <f t="shared" si="0"/>
        <v>1.736111111111116E-2</v>
      </c>
      <c r="S7" s="7">
        <f t="shared" si="0"/>
        <v>0.22569444444444442</v>
      </c>
      <c r="T7" s="7">
        <f>+Tabla538394041424344[[#This Row],[ALMUERZO]]-Tabla538394041424344[[#This Row],[TERMINO ACT. AM]]</f>
        <v>1.0416666666666741E-2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0.250694444444444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0.25138888888888877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0.25208333333333277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0.24999999999999944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0.25083333333333302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1.0033333333333321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4" sqref="I4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44879</v>
      </c>
      <c r="D3" s="37">
        <v>0.30902777777777779</v>
      </c>
      <c r="E3" s="37">
        <v>0.32083333333333336</v>
      </c>
      <c r="F3" s="37">
        <v>0.34375</v>
      </c>
      <c r="G3" s="37">
        <v>0.58680555555555558</v>
      </c>
      <c r="H3" s="37">
        <v>0.59375</v>
      </c>
      <c r="I3" s="37">
        <v>0.62152777777777779</v>
      </c>
      <c r="J3" s="46">
        <v>0.65277777777777801</v>
      </c>
      <c r="K3" s="47"/>
      <c r="L3" s="53"/>
      <c r="M3" s="53"/>
      <c r="N3" s="57" t="s">
        <v>15</v>
      </c>
      <c r="O3" s="4">
        <f>Tabla5383940414243444546[[#This Row],[FECHA]]</f>
        <v>44879</v>
      </c>
      <c r="P3" s="7">
        <f>D3</f>
        <v>0.30902777777777779</v>
      </c>
      <c r="Q3" s="7">
        <f>E3-D3</f>
        <v>1.1805555555555569E-2</v>
      </c>
      <c r="R3" s="7">
        <f>F3-E3</f>
        <v>2.2916666666666641E-2</v>
      </c>
      <c r="S3" s="7">
        <f>G3-F3</f>
        <v>0.24305555555555558</v>
      </c>
      <c r="T3" s="7">
        <f>+Tabla5383940414243444546[[#This Row],[ALMUERZO]]-Tabla5383940414243444546[[#This Row],[TERMINO ACT. AM]]</f>
        <v>6.9444444444444198E-3</v>
      </c>
      <c r="U3" s="7">
        <f>+Tabla5383940414243444546[[#This Row],[INICIO ACTIVIDADES PM]]-Tabla5383940414243444546[[#This Row],[ALMUERZO]]</f>
        <v>2.777777777777779E-2</v>
      </c>
      <c r="V3" s="7">
        <f>+Tabla5383940414243444546[[#This Row],[TERMINO ACTIVIDADES PM]]-Tabla5383940414243444546[[#This Row],[INICIO ACTIVIDADES PM]]</f>
        <v>3.1250000000000222E-2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44880</v>
      </c>
      <c r="D4" s="37">
        <v>0.31388888888888888</v>
      </c>
      <c r="E4" s="37">
        <v>0.3263888888888889</v>
      </c>
      <c r="F4" s="37">
        <v>0.34861111111111115</v>
      </c>
      <c r="G4" s="37">
        <v>0.58680555555555558</v>
      </c>
      <c r="H4" s="37">
        <v>0.59861111111111109</v>
      </c>
      <c r="I4" s="37">
        <v>0.625</v>
      </c>
      <c r="J4" s="46">
        <v>0.65277777777777779</v>
      </c>
      <c r="K4" s="47"/>
      <c r="M4" s="5"/>
      <c r="N4" s="5" t="s">
        <v>16</v>
      </c>
      <c r="O4" s="4">
        <f>Tabla5383940414243444546[[#This Row],[FECHA]]</f>
        <v>44880</v>
      </c>
      <c r="P4" s="7">
        <f>D4</f>
        <v>0.31388888888888888</v>
      </c>
      <c r="Q4" s="7">
        <f t="shared" ref="Q4:S7" si="0">E4-D4</f>
        <v>1.2500000000000011E-2</v>
      </c>
      <c r="R4" s="7">
        <f t="shared" si="0"/>
        <v>2.2222222222222254E-2</v>
      </c>
      <c r="S4" s="7">
        <f t="shared" si="0"/>
        <v>0.23819444444444443</v>
      </c>
      <c r="T4" s="7">
        <f>+Tabla5383940414243444546[[#This Row],[ALMUERZO]]-Tabla5383940414243444546[[#This Row],[TERMINO ACT. AM]]</f>
        <v>1.1805555555555514E-2</v>
      </c>
      <c r="U4" s="7">
        <f>+Tabla5383940414243444546[[#This Row],[INICIO ACTIVIDADES PM]]-Tabla5383940414243444546[[#This Row],[ALMUERZO]]</f>
        <v>2.6388888888888906E-2</v>
      </c>
      <c r="V4" s="7">
        <f>+Tabla5383940414243444546[[#This Row],[TERMINO ACTIVIDADES PM]]-Tabla5383940414243444546[[#This Row],[INICIO ACTIVIDADES PM]]</f>
        <v>2.777777777777779E-2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44881</v>
      </c>
      <c r="D5" s="37">
        <v>0.3125</v>
      </c>
      <c r="E5" s="37">
        <v>0.32291666666666669</v>
      </c>
      <c r="F5" s="37">
        <v>0.35069444444444442</v>
      </c>
      <c r="G5" s="37">
        <v>0.50138888888888888</v>
      </c>
      <c r="H5" s="37">
        <v>0.50972222222222219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44881</v>
      </c>
      <c r="P5" s="7">
        <f>D5</f>
        <v>0.3125</v>
      </c>
      <c r="Q5" s="7">
        <f t="shared" si="0"/>
        <v>1.0416666666666685E-2</v>
      </c>
      <c r="R5" s="7">
        <f t="shared" si="0"/>
        <v>2.7777777777777735E-2</v>
      </c>
      <c r="S5" s="7">
        <f t="shared" si="0"/>
        <v>0.15069444444444446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3.1944444444444442E-2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44882</v>
      </c>
      <c r="D6" s="37">
        <v>0.30902777777777779</v>
      </c>
      <c r="E6" s="37">
        <v>0.32083333333333336</v>
      </c>
      <c r="F6" s="37">
        <v>0.34375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44882</v>
      </c>
      <c r="P6" s="7">
        <f>D6</f>
        <v>0.30902777777777779</v>
      </c>
      <c r="Q6" s="7">
        <f t="shared" si="0"/>
        <v>1.1805555555555569E-2</v>
      </c>
      <c r="R6" s="7">
        <f t="shared" si="0"/>
        <v>2.2916666666666641E-2</v>
      </c>
      <c r="S6" s="7">
        <f t="shared" si="0"/>
        <v>0.15833333333333333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44883</v>
      </c>
      <c r="D7" s="37">
        <v>0.31180555555555556</v>
      </c>
      <c r="E7" s="37">
        <v>0.3298611111111111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44883</v>
      </c>
      <c r="P7" s="7">
        <f>D7</f>
        <v>0.31180555555555556</v>
      </c>
      <c r="Q7" s="7">
        <f t="shared" si="0"/>
        <v>1.8055555555555547E-2</v>
      </c>
      <c r="R7" s="7">
        <f t="shared" si="0"/>
        <v>2.430555555555558E-2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0.2743055555555558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0.26597222222222222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0.26180555555555585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0.26944444444444471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0.26458333333333356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1.0583333333333342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0.25083333333333302</v>
      </c>
      <c r="D2" s="69">
        <f t="shared" ref="D2:D9" si="0">+C2/$C$17</f>
        <v>1.0033333333333321</v>
      </c>
      <c r="F2" s="79"/>
    </row>
    <row r="3" spans="2:16" x14ac:dyDescent="0.3">
      <c r="B3" s="72" t="s">
        <v>56</v>
      </c>
      <c r="C3" s="73">
        <f>+'SUB 6'!G21</f>
        <v>0.24666666666666709</v>
      </c>
      <c r="D3" s="69">
        <f t="shared" si="0"/>
        <v>0.98666666666666836</v>
      </c>
      <c r="F3" s="79"/>
    </row>
    <row r="4" spans="2:16" x14ac:dyDescent="0.3">
      <c r="B4" s="72" t="s">
        <v>55</v>
      </c>
      <c r="C4" s="73">
        <f>+'SUB 5'!G21</f>
        <v>0.24444444444444441</v>
      </c>
      <c r="D4" s="69">
        <f t="shared" si="0"/>
        <v>0.97777777777777763</v>
      </c>
      <c r="F4" s="79"/>
    </row>
    <row r="5" spans="2:16" x14ac:dyDescent="0.3">
      <c r="B5" s="72" t="s">
        <v>54</v>
      </c>
      <c r="C5" s="73">
        <f>+'TTE 6 '!G21</f>
        <v>0.24541666666666639</v>
      </c>
      <c r="D5" s="69">
        <f t="shared" si="0"/>
        <v>0.98166666666666558</v>
      </c>
      <c r="F5" s="79"/>
    </row>
    <row r="6" spans="2:16" x14ac:dyDescent="0.3">
      <c r="B6" s="72" t="s">
        <v>58</v>
      </c>
      <c r="C6" s="73">
        <f>+DIABLO!G21</f>
        <v>0.2509722222222221</v>
      </c>
      <c r="D6" s="69">
        <f t="shared" si="0"/>
        <v>1.0038888888888884</v>
      </c>
      <c r="F6" s="79"/>
    </row>
    <row r="7" spans="2:16" x14ac:dyDescent="0.3">
      <c r="B7" s="72" t="s">
        <v>57</v>
      </c>
      <c r="C7" s="73">
        <f>+'PIPA N'!G21</f>
        <v>0.24972222222222218</v>
      </c>
      <c r="D7" s="69">
        <f t="shared" si="0"/>
        <v>0.99888888888888872</v>
      </c>
      <c r="F7" s="79"/>
    </row>
    <row r="8" spans="2:16" x14ac:dyDescent="0.3">
      <c r="B8" s="72" t="s">
        <v>66</v>
      </c>
      <c r="C8" s="73">
        <f>+'CH colon'!G21</f>
        <v>0.26458333333333356</v>
      </c>
      <c r="D8" s="69">
        <f t="shared" si="0"/>
        <v>1.0583333333333342</v>
      </c>
      <c r="F8" s="79"/>
    </row>
    <row r="9" spans="2:16" x14ac:dyDescent="0.3">
      <c r="B9" s="74" t="s">
        <v>92</v>
      </c>
      <c r="C9" s="73">
        <f>+Salvataje!G21</f>
        <v>0.25069444444444422</v>
      </c>
      <c r="D9" s="69">
        <f t="shared" si="0"/>
        <v>1.0027777777777769</v>
      </c>
      <c r="F9" s="79"/>
    </row>
    <row r="10" spans="2:16" x14ac:dyDescent="0.3">
      <c r="B10" s="72" t="s">
        <v>64</v>
      </c>
      <c r="C10" s="73">
        <f>+'LA JUNTA'!G21</f>
        <v>0.28986111111111096</v>
      </c>
      <c r="D10" s="69">
        <f>+C10/$C$19</f>
        <v>0.99380952380952325</v>
      </c>
      <c r="F10" s="79"/>
    </row>
    <row r="11" spans="2:16" x14ac:dyDescent="0.3">
      <c r="B11" s="72" t="s">
        <v>62</v>
      </c>
      <c r="C11" s="73">
        <f>+AC!G21</f>
        <v>0.25263888888888897</v>
      </c>
      <c r="D11" s="69">
        <f>+C11/$C$17</f>
        <v>1.0105555555555559</v>
      </c>
      <c r="F11" s="79"/>
      <c r="P11" s="80"/>
    </row>
    <row r="12" spans="2:16" x14ac:dyDescent="0.3">
      <c r="B12" s="72" t="s">
        <v>63</v>
      </c>
      <c r="C12" s="73">
        <f>+Colec!G21</f>
        <v>0.26055555555555576</v>
      </c>
      <c r="D12" s="69">
        <f>+C12/$C$17</f>
        <v>1.042222222222223</v>
      </c>
      <c r="F12" s="79"/>
    </row>
    <row r="13" spans="2:16" x14ac:dyDescent="0.3">
      <c r="B13" s="72" t="s">
        <v>61</v>
      </c>
      <c r="C13" s="73">
        <f>+'P M'!G21</f>
        <v>0.26083333333333342</v>
      </c>
      <c r="D13" s="69">
        <f>+C13/$C$17</f>
        <v>1.0433333333333337</v>
      </c>
      <c r="F13" s="79"/>
    </row>
    <row r="14" spans="2:16" x14ac:dyDescent="0.3">
      <c r="B14" s="72" t="s">
        <v>60</v>
      </c>
      <c r="C14" s="73">
        <f>+'Vent '!G21</f>
        <v>0.25125000000000003</v>
      </c>
      <c r="D14" s="69">
        <f>+C14/$C$17</f>
        <v>1.0050000000000001</v>
      </c>
      <c r="F14" s="79"/>
    </row>
    <row r="15" spans="2:16" x14ac:dyDescent="0.3">
      <c r="B15" s="72" t="s">
        <v>59</v>
      </c>
      <c r="C15" s="73">
        <f>+ACCU!G21</f>
        <v>0.4402777777777776</v>
      </c>
      <c r="D15" s="69">
        <f>+C15/$C$18</f>
        <v>1.0393442622950815</v>
      </c>
      <c r="F15" s="79"/>
    </row>
    <row r="16" spans="2:16" x14ac:dyDescent="0.3">
      <c r="B16" s="72" t="s">
        <v>51</v>
      </c>
      <c r="C16" s="73">
        <f>AVERAGE(C2:C15)</f>
        <v>0.26848214285714284</v>
      </c>
    </row>
    <row r="17" spans="2:4" x14ac:dyDescent="0.3">
      <c r="B17" s="72" t="s">
        <v>52</v>
      </c>
      <c r="C17" s="73">
        <v>0.25</v>
      </c>
      <c r="D17" s="55">
        <f>+AVERAGE(D2:D16)</f>
        <v>1.0105427307535035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L19" sqref="L19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4">
        <f>+'TTE 6 '!C3</f>
        <v>44879</v>
      </c>
      <c r="C4" s="195"/>
      <c r="D4" s="195"/>
      <c r="E4" s="185">
        <f>+'TTE 6 '!C4</f>
        <v>44880</v>
      </c>
      <c r="F4" s="186"/>
      <c r="G4" s="186"/>
      <c r="H4" s="196">
        <f>+'TTE 6 '!C5</f>
        <v>44881</v>
      </c>
      <c r="I4" s="197"/>
      <c r="J4" s="198"/>
      <c r="K4" s="185">
        <f>+'TTE 6 '!C6</f>
        <v>44882</v>
      </c>
      <c r="L4" s="186"/>
      <c r="M4" s="186"/>
      <c r="N4" s="187">
        <f>+'TTE 6 '!C7</f>
        <v>44883</v>
      </c>
      <c r="O4" s="188"/>
      <c r="P4" s="189"/>
      <c r="Q4" s="185">
        <f>+'TTE 6 '!C8</f>
        <v>44884</v>
      </c>
      <c r="R4" s="186"/>
      <c r="S4" s="186"/>
      <c r="T4" s="187">
        <f>+'TTE 6 '!C9</f>
        <v>44885</v>
      </c>
      <c r="U4" s="188"/>
      <c r="V4" s="190"/>
      <c r="W4" s="191" t="s">
        <v>107</v>
      </c>
      <c r="X4" s="192"/>
      <c r="Y4" s="193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99" t="s">
        <v>110</v>
      </c>
      <c r="X6" s="183"/>
      <c r="Y6" s="200"/>
    </row>
    <row r="7" spans="1:25" x14ac:dyDescent="0.3">
      <c r="A7" s="96" t="s">
        <v>111</v>
      </c>
      <c r="B7" s="117"/>
      <c r="C7" s="118"/>
      <c r="D7" s="118">
        <f>+'TTE 7'!D3</f>
        <v>0.67361111111111105</v>
      </c>
      <c r="E7" s="97"/>
      <c r="F7" s="143"/>
      <c r="G7" s="143">
        <f>+'TTE 7'!D4</f>
        <v>0.67361111111111116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0.6743055555555556</v>
      </c>
    </row>
    <row r="8" spans="1:25" x14ac:dyDescent="0.3">
      <c r="A8" s="96" t="s">
        <v>112</v>
      </c>
      <c r="B8" s="117"/>
      <c r="C8" s="118"/>
      <c r="D8" s="118">
        <f>+'TTE 7'!J3</f>
        <v>0.99305555555555503</v>
      </c>
      <c r="E8" s="97"/>
      <c r="F8" s="98"/>
      <c r="G8" s="98">
        <f>+'TTE 7'!J4</f>
        <v>0.99305555555555547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0.99305555555555514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0.250694444444444</v>
      </c>
      <c r="E9" s="110"/>
      <c r="F9" s="139"/>
      <c r="G9" s="139">
        <f>+'TTE 7'!G17</f>
        <v>0.25</v>
      </c>
      <c r="H9" s="127"/>
      <c r="I9" s="128"/>
      <c r="J9" s="128">
        <f>+'TTE 7'!G18</f>
        <v>0.25138888888888877</v>
      </c>
      <c r="K9" s="110"/>
      <c r="L9" s="139"/>
      <c r="M9" s="139">
        <f>+'TTE 7'!G19</f>
        <v>0.25208333333333277</v>
      </c>
      <c r="N9" s="110"/>
      <c r="O9" s="139"/>
      <c r="P9" s="139">
        <f>+'TTE 7'!G20</f>
        <v>0.24999999999999944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0.25083333333333302</v>
      </c>
    </row>
    <row r="10" spans="1:25" ht="16.2" thickBot="1" x14ac:dyDescent="0.35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99" t="s">
        <v>110</v>
      </c>
      <c r="X10" s="183"/>
      <c r="Y10" s="200"/>
    </row>
    <row r="11" spans="1:25" x14ac:dyDescent="0.3">
      <c r="A11" s="96" t="s">
        <v>111</v>
      </c>
      <c r="B11" s="117"/>
      <c r="C11" s="118">
        <f>+'SUB 6'!D3</f>
        <v>0.33749999999999997</v>
      </c>
      <c r="D11" s="118"/>
      <c r="E11" s="97"/>
      <c r="F11" s="98">
        <f>+'SUB 6'!D4</f>
        <v>0.33680555555555558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0.34027777777777773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0.33763888888888888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0.65972222222222299</v>
      </c>
      <c r="D12" s="118"/>
      <c r="E12" s="97"/>
      <c r="F12" s="98">
        <f>+'SUB 6'!J4</f>
        <v>0.65972222222222221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0.65972222222222265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0.2520833333333341</v>
      </c>
      <c r="D13" s="118"/>
      <c r="E13" s="110"/>
      <c r="F13" s="98">
        <f>+'SUB 6'!G17</f>
        <v>0.23888888888888876</v>
      </c>
      <c r="G13" s="98"/>
      <c r="H13" s="127"/>
      <c r="I13" s="118">
        <f>+'SUB 6'!G18</f>
        <v>0.24722222222222218</v>
      </c>
      <c r="J13" s="118"/>
      <c r="K13" s="110"/>
      <c r="L13" s="98">
        <f>+'SUB 6'!G19</f>
        <v>0.24513888888888974</v>
      </c>
      <c r="M13" s="98"/>
      <c r="N13" s="110"/>
      <c r="O13" s="98">
        <f>+'SUB 6'!G20</f>
        <v>0.25000000000000072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0.24666666666666709</v>
      </c>
      <c r="Y13" s="153" t="str">
        <f t="shared" si="1"/>
        <v/>
      </c>
    </row>
    <row r="14" spans="1:25" ht="16.2" thickBot="1" x14ac:dyDescent="0.35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99" t="s">
        <v>110</v>
      </c>
      <c r="X14" s="183"/>
      <c r="Y14" s="200"/>
    </row>
    <row r="15" spans="1:25" x14ac:dyDescent="0.3">
      <c r="A15" s="96" t="s">
        <v>111</v>
      </c>
      <c r="B15" s="117"/>
      <c r="C15" s="119">
        <f>+'SUB 5'!D3</f>
        <v>0.68402777777777779</v>
      </c>
      <c r="D15" s="119"/>
      <c r="E15" s="117"/>
      <c r="F15" s="118">
        <f>+'SUB 5'!D4</f>
        <v>0.68958333333333333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0.68541666666666667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0.68541666666666667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0.99305555555555547</v>
      </c>
      <c r="D16" s="119"/>
      <c r="E16" s="117"/>
      <c r="F16" s="118">
        <f>+'SUB 5'!J4</f>
        <v>0.99305555555555547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0.99305555555555558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0.24861111111111123</v>
      </c>
      <c r="D17" s="119"/>
      <c r="E17" s="127"/>
      <c r="F17" s="118">
        <f>+'SUB 5'!G17</f>
        <v>0.24375000000000002</v>
      </c>
      <c r="G17" s="118"/>
      <c r="H17" s="127"/>
      <c r="I17" s="118">
        <f>+'SUB 5'!G18</f>
        <v>0.24722222222222212</v>
      </c>
      <c r="J17" s="118"/>
      <c r="K17" s="127"/>
      <c r="L17" s="118">
        <f>+'SUB 5'!G19</f>
        <v>0.23958333333333326</v>
      </c>
      <c r="M17" s="118"/>
      <c r="N17" s="127"/>
      <c r="O17" s="118">
        <f>+'SUB 5'!G20</f>
        <v>0.24305555555555547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0.24444444444444441</v>
      </c>
      <c r="Y17" s="150" t="str">
        <f t="shared" si="2"/>
        <v/>
      </c>
    </row>
    <row r="18" spans="1:25" ht="16.2" thickBot="1" x14ac:dyDescent="0.35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99" t="s">
        <v>110</v>
      </c>
      <c r="X18" s="183"/>
      <c r="Y18" s="200"/>
    </row>
    <row r="19" spans="1:25" x14ac:dyDescent="0.3">
      <c r="A19" s="96" t="s">
        <v>111</v>
      </c>
      <c r="B19" s="117"/>
      <c r="C19" s="118">
        <f>+'TTE 6 '!D3</f>
        <v>0.33680555555555558</v>
      </c>
      <c r="D19" s="121"/>
      <c r="E19" s="97"/>
      <c r="F19" s="98">
        <f>+'TTE 6 '!D4</f>
        <v>0.33749999999999997</v>
      </c>
      <c r="G19" s="101"/>
      <c r="H19" s="117"/>
      <c r="I19" s="118">
        <f>+'TTE 6 '!D5</f>
        <v>0.3347222222222222</v>
      </c>
      <c r="J19" s="121"/>
      <c r="K19" s="97"/>
      <c r="L19" s="98">
        <f>+'TTE 6 '!D6</f>
        <v>0.33680555555555558</v>
      </c>
      <c r="M19" s="101"/>
      <c r="N19" s="97"/>
      <c r="O19" s="98">
        <f>+'TTE 6 '!D7</f>
        <v>0.33680555555555558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0.33652777777777776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0.65972222222222199</v>
      </c>
      <c r="D20" s="121"/>
      <c r="E20" s="97"/>
      <c r="F20" s="98">
        <f>+'TTE 6 '!J4</f>
        <v>0.65972222222222199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0.6597222222222221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0.23958333333333304</v>
      </c>
      <c r="D21" s="130"/>
      <c r="E21" s="110"/>
      <c r="F21" s="98">
        <f>+'TTE 6 '!G17</f>
        <v>0.25069444444444416</v>
      </c>
      <c r="G21" s="112"/>
      <c r="H21" s="127"/>
      <c r="I21" s="118">
        <f>+'TTE 6 '!G18</f>
        <v>0.24791666666666634</v>
      </c>
      <c r="J21" s="130"/>
      <c r="K21" s="110"/>
      <c r="L21" s="98">
        <f>+'TTE 6 '!G19</f>
        <v>0.24444444444444408</v>
      </c>
      <c r="M21" s="112"/>
      <c r="N21" s="110"/>
      <c r="O21" s="98">
        <f>+'TTE 6 '!G20</f>
        <v>0.24444444444444435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0.24541666666666639</v>
      </c>
      <c r="Y21" s="116" t="str">
        <f t="shared" si="3"/>
        <v/>
      </c>
    </row>
    <row r="22" spans="1:25" ht="16.2" thickBot="1" x14ac:dyDescent="0.35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99" t="s">
        <v>110</v>
      </c>
      <c r="X22" s="183"/>
      <c r="Y22" s="200"/>
    </row>
    <row r="23" spans="1:25" x14ac:dyDescent="0.3">
      <c r="A23" s="96" t="s">
        <v>111</v>
      </c>
      <c r="B23" s="117"/>
      <c r="C23" s="118"/>
      <c r="D23" s="118">
        <f>+DIABLO!D3</f>
        <v>0.34166666666666662</v>
      </c>
      <c r="E23" s="97"/>
      <c r="F23" s="98"/>
      <c r="G23" s="98">
        <f>+DIABLO!D4</f>
        <v>0.34027777777777773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0.34027777777777773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0.34097222222222218</v>
      </c>
    </row>
    <row r="24" spans="1:25" x14ac:dyDescent="0.3">
      <c r="A24" s="96" t="s">
        <v>112</v>
      </c>
      <c r="B24" s="117"/>
      <c r="C24" s="118"/>
      <c r="D24" s="118">
        <f>+DIABLO!J3</f>
        <v>0.65972222222222221</v>
      </c>
      <c r="E24" s="97"/>
      <c r="F24" s="98"/>
      <c r="G24" s="98">
        <f>+DIABLO!D4</f>
        <v>0.34027777777777773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0.59583333333333344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0.25208333333333327</v>
      </c>
      <c r="E25" s="110"/>
      <c r="F25" s="98"/>
      <c r="G25" s="98">
        <f>+DIABLO!G17</f>
        <v>0.24791666666666651</v>
      </c>
      <c r="H25" s="127"/>
      <c r="I25" s="118"/>
      <c r="J25" s="118">
        <f>+DIABLO!G18</f>
        <v>0.24999999999999989</v>
      </c>
      <c r="K25" s="110"/>
      <c r="L25" s="98"/>
      <c r="M25" s="98">
        <f>+DIABLO!G19</f>
        <v>0.25208333333333316</v>
      </c>
      <c r="N25" s="110"/>
      <c r="O25" s="98"/>
      <c r="P25" s="98">
        <f>+DIABLO!G20</f>
        <v>0.25277777777777788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0.2509722222222221</v>
      </c>
    </row>
    <row r="26" spans="1:25" ht="16.2" thickBot="1" x14ac:dyDescent="0.35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99" t="s">
        <v>110</v>
      </c>
      <c r="X26" s="183"/>
      <c r="Y26" s="200"/>
    </row>
    <row r="27" spans="1:25" x14ac:dyDescent="0.3">
      <c r="A27" s="96" t="s">
        <v>111</v>
      </c>
      <c r="B27" s="117"/>
      <c r="C27" s="118">
        <f>+'PIPA N'!D3</f>
        <v>0.34375</v>
      </c>
      <c r="D27" s="118"/>
      <c r="E27" s="97"/>
      <c r="F27" s="98">
        <f>+'PIPA N'!J4</f>
        <v>0.65972222222222221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0.34027777777777773</v>
      </c>
      <c r="M27" s="98"/>
      <c r="N27" s="97"/>
      <c r="O27" s="98">
        <f>+'PIPA N'!D7</f>
        <v>0.34375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0.40486111111111106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0.65972222222222221</v>
      </c>
      <c r="D28" s="118"/>
      <c r="E28" s="135"/>
      <c r="F28" s="98">
        <f>+'PIPA N'!J4</f>
        <v>0.65972222222222221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0.65972222222222221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0.25138888888888883</v>
      </c>
      <c r="D29" s="118"/>
      <c r="E29" s="110"/>
      <c r="F29" s="98">
        <f>+'PIPA N'!G17</f>
        <v>0.24791666666666667</v>
      </c>
      <c r="G29" s="98"/>
      <c r="H29" s="127"/>
      <c r="I29" s="118">
        <f>+'PIPA N'!G18</f>
        <v>0.25138888888888888</v>
      </c>
      <c r="J29" s="118"/>
      <c r="K29" s="110"/>
      <c r="L29" s="98">
        <f>+'PIPA N'!G19</f>
        <v>0.24652777777777762</v>
      </c>
      <c r="M29" s="98"/>
      <c r="N29" s="110"/>
      <c r="O29" s="98">
        <f>+'PIPA N'!G20</f>
        <v>0.25138888888888883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0.24972222222222218</v>
      </c>
      <c r="Y29" s="153" t="str">
        <f t="shared" si="6"/>
        <v/>
      </c>
    </row>
    <row r="30" spans="1:25" ht="16.2" thickBot="1" x14ac:dyDescent="0.35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99" t="s">
        <v>110</v>
      </c>
      <c r="X30" s="183"/>
      <c r="Y30" s="200"/>
    </row>
    <row r="31" spans="1:25" x14ac:dyDescent="0.3">
      <c r="A31" s="96" t="s">
        <v>111</v>
      </c>
      <c r="B31" s="117"/>
      <c r="C31" s="118">
        <f>+'CH colon'!D3</f>
        <v>0.30902777777777779</v>
      </c>
      <c r="D31" s="118"/>
      <c r="E31" s="97"/>
      <c r="F31" s="98">
        <f>+'CH colon'!D4</f>
        <v>0.31388888888888888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0.31180555555555556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0.31124999999999997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0.65277777777777801</v>
      </c>
      <c r="D32" s="118"/>
      <c r="E32" s="97"/>
      <c r="F32" s="98">
        <f>+'CH colon'!J4</f>
        <v>0.65277777777777779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0.65277777777777801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0.2743055555555558</v>
      </c>
      <c r="D33" s="118"/>
      <c r="E33" s="110"/>
      <c r="F33" s="98">
        <f>+'CH colon'!G17</f>
        <v>0.26597222222222222</v>
      </c>
      <c r="G33" s="98"/>
      <c r="H33" s="127"/>
      <c r="I33" s="118">
        <f>+'CH colon'!G18</f>
        <v>0.26180555555555585</v>
      </c>
      <c r="J33" s="118"/>
      <c r="K33" s="110"/>
      <c r="L33" s="98">
        <f>+'CH colon'!G19</f>
        <v>0.26944444444444471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0.26458333333333356</v>
      </c>
      <c r="Y33" s="116" t="str">
        <f t="shared" si="7"/>
        <v/>
      </c>
    </row>
    <row r="34" spans="1:25" ht="16.2" thickBot="1" x14ac:dyDescent="0.35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99" t="s">
        <v>110</v>
      </c>
      <c r="X34" s="183"/>
      <c r="Y34" s="200"/>
    </row>
    <row r="35" spans="1:25" x14ac:dyDescent="0.3">
      <c r="A35" s="96" t="s">
        <v>111</v>
      </c>
      <c r="B35" s="117"/>
      <c r="C35" s="118">
        <f>+Salvataje!D3</f>
        <v>0.34375</v>
      </c>
      <c r="D35" s="121"/>
      <c r="E35" s="97"/>
      <c r="F35" s="98">
        <f>+Salvataje!D4</f>
        <v>0.34027777777777773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0.34375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0.34027777777777779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0.65972222222222199</v>
      </c>
      <c r="D36" s="121"/>
      <c r="E36" s="97"/>
      <c r="F36" s="98">
        <f>+Salvataje!J4</f>
        <v>0.65972222222222221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0.65972222222222199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0.25763888888888864</v>
      </c>
      <c r="D37" s="130"/>
      <c r="E37" s="110"/>
      <c r="F37" s="98">
        <f>+Salvataje!G17</f>
        <v>0.24583333333333329</v>
      </c>
      <c r="G37" s="112"/>
      <c r="H37" s="127"/>
      <c r="I37" s="118">
        <f>+Salvataje!G18</f>
        <v>0.24236111111111086</v>
      </c>
      <c r="J37" s="130"/>
      <c r="K37" s="110"/>
      <c r="L37" s="98">
        <f>+Salvataje!G19</f>
        <v>0.25763888888888864</v>
      </c>
      <c r="M37" s="112"/>
      <c r="N37" s="110"/>
      <c r="O37" s="98">
        <f>+Salvataje!G20</f>
        <v>0.24999999999999972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0.25069444444444422</v>
      </c>
      <c r="Y37" s="116" t="str">
        <f t="shared" si="8"/>
        <v/>
      </c>
    </row>
    <row r="38" spans="1:25" ht="16.2" thickBot="1" x14ac:dyDescent="0.35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99" t="s">
        <v>110</v>
      </c>
      <c r="X38" s="183"/>
      <c r="Y38" s="200"/>
    </row>
    <row r="39" spans="1:25" x14ac:dyDescent="0.3">
      <c r="A39" s="96" t="s">
        <v>111</v>
      </c>
      <c r="B39" s="117"/>
      <c r="C39" s="118">
        <f>+'LA JUNTA'!D3</f>
        <v>0.3125</v>
      </c>
      <c r="D39" s="121"/>
      <c r="E39" s="97"/>
      <c r="F39" s="98">
        <f>+'LA JUNTA'!D4</f>
        <v>0.31458333333333333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0.31152777777777774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0.65972222222222199</v>
      </c>
      <c r="D40" s="121"/>
      <c r="E40" s="97"/>
      <c r="F40" s="98">
        <f>+'LA JUNTA'!J4</f>
        <v>0.65972222222222221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0.65972222222222199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0.29374999999999979</v>
      </c>
      <c r="D41" s="130"/>
      <c r="E41" s="110"/>
      <c r="F41" s="139">
        <f>+'LA JUNTA'!G17</f>
        <v>0.2895833333333333</v>
      </c>
      <c r="G41" s="99"/>
      <c r="H41" s="127"/>
      <c r="I41" s="128">
        <f>+'LA JUNTA'!G18</f>
        <v>0.28611111111111087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0.28986111111111096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99" t="s">
        <v>110</v>
      </c>
      <c r="X42" s="183"/>
      <c r="Y42" s="200"/>
    </row>
    <row r="43" spans="1:25" x14ac:dyDescent="0.3">
      <c r="A43" s="96" t="s">
        <v>111</v>
      </c>
      <c r="B43" s="117"/>
      <c r="C43" s="174">
        <f>+AC!D3</f>
        <v>0.64583333333333337</v>
      </c>
      <c r="D43" s="174"/>
      <c r="E43" s="97"/>
      <c r="F43" s="143">
        <f>+AC!D4</f>
        <v>0.64583333333333337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0.64583333333333337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0.98611111111111116</v>
      </c>
      <c r="D44" s="118"/>
      <c r="E44" s="97"/>
      <c r="F44" s="98">
        <f>+AC!J4</f>
        <v>0.98958333333333337</v>
      </c>
      <c r="G44" s="98"/>
      <c r="H44" s="117"/>
      <c r="I44" s="118">
        <f>+AC!J5</f>
        <v>0.98125000000000007</v>
      </c>
      <c r="J44" s="118"/>
      <c r="K44" s="97"/>
      <c r="L44" s="98">
        <f>+AC!J6</f>
        <v>0.98611111111111116</v>
      </c>
      <c r="M44" s="98"/>
      <c r="N44" s="97"/>
      <c r="O44" s="98">
        <f>+AC!J7</f>
        <v>0.98472222222222217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0.98555555555555563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0.25694444444444442</v>
      </c>
      <c r="D45" s="128"/>
      <c r="E45" s="110"/>
      <c r="F45" s="139">
        <f>+AC!G17</f>
        <v>0.27013888888888893</v>
      </c>
      <c r="G45" s="139"/>
      <c r="H45" s="127"/>
      <c r="I45" s="128">
        <f>+AC!G18</f>
        <v>0.22847222222222219</v>
      </c>
      <c r="J45" s="128"/>
      <c r="K45" s="110"/>
      <c r="L45" s="139">
        <f>+AC!G19</f>
        <v>0.2597222222222223</v>
      </c>
      <c r="M45" s="139"/>
      <c r="N45" s="110"/>
      <c r="O45" s="139">
        <f>+AC!G20</f>
        <v>0.24791666666666667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0.25263888888888897</v>
      </c>
      <c r="Y45" s="115" t="str">
        <f t="shared" si="10"/>
        <v/>
      </c>
    </row>
    <row r="46" spans="1:25" ht="16.2" thickBot="1" x14ac:dyDescent="0.35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99" t="s">
        <v>110</v>
      </c>
      <c r="X46" s="183"/>
      <c r="Y46" s="200"/>
    </row>
    <row r="47" spans="1:25" x14ac:dyDescent="0.3">
      <c r="A47" s="96" t="s">
        <v>111</v>
      </c>
      <c r="B47" s="117"/>
      <c r="C47" s="118"/>
      <c r="D47" s="118">
        <f>+Colec!D3</f>
        <v>0.3125</v>
      </c>
      <c r="E47" s="117"/>
      <c r="F47" s="118"/>
      <c r="G47" s="118">
        <f>+Colec!D4</f>
        <v>0.3125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0.3125</v>
      </c>
    </row>
    <row r="48" spans="1:25" x14ac:dyDescent="0.3">
      <c r="A48" s="96" t="s">
        <v>112</v>
      </c>
      <c r="B48" s="117"/>
      <c r="C48" s="118"/>
      <c r="D48" s="118">
        <f>+Colec!J3</f>
        <v>0.65277777777777801</v>
      </c>
      <c r="E48" s="117"/>
      <c r="F48" s="118"/>
      <c r="G48" s="118">
        <f>+Colec!J4</f>
        <v>0.65277777777777779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0.65277777777777801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0.25833333333333364</v>
      </c>
      <c r="E49" s="127"/>
      <c r="F49" s="118"/>
      <c r="G49" s="118">
        <f>+Colec!G17</f>
        <v>0.2638888888888889</v>
      </c>
      <c r="H49" s="127"/>
      <c r="I49" s="118"/>
      <c r="J49" s="118">
        <f>+Colec!G18</f>
        <v>0.2555555555555557</v>
      </c>
      <c r="K49" s="127"/>
      <c r="L49" s="118"/>
      <c r="M49" s="118">
        <f>+Colec!G19</f>
        <v>0.26180555555555579</v>
      </c>
      <c r="N49" s="127"/>
      <c r="O49" s="118"/>
      <c r="P49" s="118">
        <f>+Colec!G20</f>
        <v>0.26319444444444473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0.26055555555555576</v>
      </c>
    </row>
    <row r="50" spans="1:25" ht="16.2" thickBot="1" x14ac:dyDescent="0.35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99" t="s">
        <v>110</v>
      </c>
      <c r="X50" s="183"/>
      <c r="Y50" s="200"/>
    </row>
    <row r="51" spans="1:25" x14ac:dyDescent="0.3">
      <c r="A51" s="96" t="s">
        <v>111</v>
      </c>
      <c r="B51" s="117"/>
      <c r="C51" s="119">
        <f>+'P M'!D3</f>
        <v>0.3125</v>
      </c>
      <c r="D51" s="119"/>
      <c r="E51" s="97"/>
      <c r="F51" s="143">
        <f>+'P M'!D4</f>
        <v>0.3125</v>
      </c>
      <c r="G51" s="143"/>
      <c r="H51" s="117"/>
      <c r="I51" s="174">
        <f>+'P M'!D5</f>
        <v>0.31597222222222221</v>
      </c>
      <c r="J51" s="174"/>
      <c r="K51" s="97"/>
      <c r="L51" s="143">
        <f>+'P M'!D6</f>
        <v>0.3125</v>
      </c>
      <c r="M51" s="143"/>
      <c r="N51" s="97"/>
      <c r="O51" s="143"/>
      <c r="P51" s="143">
        <f>+'P M'!D7</f>
        <v>0.3125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0.31336805555555558</v>
      </c>
      <c r="Y51" s="104">
        <f t="shared" si="12"/>
        <v>0.3125</v>
      </c>
    </row>
    <row r="52" spans="1:25" x14ac:dyDescent="0.3">
      <c r="A52" s="96" t="s">
        <v>112</v>
      </c>
      <c r="B52" s="117"/>
      <c r="C52" s="119">
        <f>+'P M'!J3</f>
        <v>0.65277777777777779</v>
      </c>
      <c r="D52" s="119"/>
      <c r="E52" s="97"/>
      <c r="F52" s="98">
        <f>+'P M'!J4</f>
        <v>0.65277777777777801</v>
      </c>
      <c r="G52" s="98"/>
      <c r="H52" s="117"/>
      <c r="I52" s="118">
        <f>+'P M'!J5</f>
        <v>0.65277777777777801</v>
      </c>
      <c r="J52" s="118"/>
      <c r="K52" s="97"/>
      <c r="L52" s="98">
        <f>+'P M'!J6</f>
        <v>0.65277777777777779</v>
      </c>
      <c r="M52" s="98"/>
      <c r="N52" s="97"/>
      <c r="O52" s="98"/>
      <c r="P52" s="98">
        <f>+'P M'!J7</f>
        <v>0.65277777777777779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0.6527777777777779</v>
      </c>
      <c r="Y52" s="107">
        <f t="shared" si="12"/>
        <v>0.65277777777777779</v>
      </c>
    </row>
    <row r="53" spans="1:25" ht="16.2" thickBot="1" x14ac:dyDescent="0.35">
      <c r="A53" s="109" t="s">
        <v>113</v>
      </c>
      <c r="B53" s="127"/>
      <c r="C53" s="119">
        <f>+'P M'!G16</f>
        <v>0.25694444444444448</v>
      </c>
      <c r="D53" s="119"/>
      <c r="E53" s="110"/>
      <c r="F53" s="139">
        <f>+'P M'!G17</f>
        <v>0.26736111111111133</v>
      </c>
      <c r="G53" s="139"/>
      <c r="H53" s="127"/>
      <c r="I53" s="128">
        <f>+'P M'!G18</f>
        <v>0.26527777777777795</v>
      </c>
      <c r="J53" s="128"/>
      <c r="K53" s="110"/>
      <c r="L53" s="139">
        <f>+'P M'!G19</f>
        <v>0.2541666666666666</v>
      </c>
      <c r="M53" s="139"/>
      <c r="N53" s="110"/>
      <c r="O53" s="139"/>
      <c r="P53" s="139">
        <f>+'P M'!G20</f>
        <v>0.26041666666666669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0.2609375000000001</v>
      </c>
      <c r="Y53" s="115">
        <f t="shared" si="12"/>
        <v>0.26041666666666669</v>
      </c>
    </row>
    <row r="54" spans="1:25" ht="16.2" thickBot="1" x14ac:dyDescent="0.35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99" t="s">
        <v>110</v>
      </c>
      <c r="X54" s="183"/>
      <c r="Y54" s="200"/>
    </row>
    <row r="55" spans="1:25" x14ac:dyDescent="0.3">
      <c r="A55" s="96" t="s">
        <v>111</v>
      </c>
      <c r="B55" s="117"/>
      <c r="C55" s="118"/>
      <c r="D55" s="118">
        <f>+'Vent '!D3</f>
        <v>0.64583333333333337</v>
      </c>
      <c r="E55" s="117"/>
      <c r="F55" s="118"/>
      <c r="G55" s="118">
        <f>+'Vent '!D4</f>
        <v>0.64583333333333337</v>
      </c>
      <c r="H55" s="117"/>
      <c r="I55" s="118"/>
      <c r="J55" s="118">
        <f>+'Vent '!G5</f>
        <v>0.90416666666666667</v>
      </c>
      <c r="K55" s="117"/>
      <c r="L55" s="118"/>
      <c r="M55" s="118">
        <f>+'Vent '!D6</f>
        <v>0.64583333333333337</v>
      </c>
      <c r="N55" s="117"/>
      <c r="O55" s="118"/>
      <c r="P55" s="118">
        <f>+'Vent '!D7</f>
        <v>0.64583333333333337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0.69750000000000001</v>
      </c>
    </row>
    <row r="56" spans="1:25" x14ac:dyDescent="0.3">
      <c r="A56" s="96" t="s">
        <v>112</v>
      </c>
      <c r="B56" s="117"/>
      <c r="C56" s="118"/>
      <c r="D56" s="118">
        <f>+'Vent '!J3</f>
        <v>0.98611111111111105</v>
      </c>
      <c r="E56" s="117"/>
      <c r="F56" s="118"/>
      <c r="G56" s="118">
        <f>+'Vent '!J4</f>
        <v>0.98611111111111116</v>
      </c>
      <c r="H56" s="117"/>
      <c r="I56" s="118"/>
      <c r="J56" s="118">
        <f>+'Vent '!J5</f>
        <v>0.98611111111111105</v>
      </c>
      <c r="K56" s="117"/>
      <c r="L56" s="118"/>
      <c r="M56" s="118">
        <f>+'Vent '!J6</f>
        <v>0.98611111111111105</v>
      </c>
      <c r="N56" s="117"/>
      <c r="O56" s="118"/>
      <c r="P56" s="118">
        <f>+'Vent '!J7</f>
        <v>0.98611111111111105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0.98611111111111105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0.24444444444444458</v>
      </c>
      <c r="E57" s="127"/>
      <c r="F57" s="118"/>
      <c r="G57" s="118">
        <f>+'Vent '!G17</f>
        <v>0.25138888888888888</v>
      </c>
      <c r="H57" s="127"/>
      <c r="I57" s="118"/>
      <c r="J57" s="118">
        <f>+'Vent '!G18</f>
        <v>0.25277777777777777</v>
      </c>
      <c r="K57" s="127"/>
      <c r="L57" s="118"/>
      <c r="M57" s="118">
        <f>+'Vent '!G19</f>
        <v>0.25138888888888888</v>
      </c>
      <c r="N57" s="127"/>
      <c r="O57" s="118"/>
      <c r="P57" s="118">
        <f>+'Vent '!G20</f>
        <v>0.25624999999999998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0.25125000000000003</v>
      </c>
    </row>
    <row r="58" spans="1:25" ht="16.2" thickBot="1" x14ac:dyDescent="0.35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99" t="s">
        <v>110</v>
      </c>
      <c r="X58" s="183"/>
      <c r="Y58" s="184"/>
    </row>
    <row r="59" spans="1:25" x14ac:dyDescent="0.3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0.44236111111111115</v>
      </c>
      <c r="D61" s="130"/>
      <c r="E61" s="110"/>
      <c r="F61" s="139">
        <f>+ACCU!G17</f>
        <v>0.43888888888888883</v>
      </c>
      <c r="G61" s="112"/>
      <c r="H61" s="127"/>
      <c r="I61" s="128">
        <f>+ACCU!G18</f>
        <v>0.44930555555555524</v>
      </c>
      <c r="J61" s="130"/>
      <c r="K61" s="110"/>
      <c r="L61" s="139">
        <f>+ACCU!G19</f>
        <v>0.43611111111111084</v>
      </c>
      <c r="M61" s="112"/>
      <c r="N61" s="110"/>
      <c r="O61" s="139">
        <f>+ACCU!G20</f>
        <v>0.4347222222222219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0.4402777777777776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workbookViewId="0">
      <selection activeCell="X3" sqref="X3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6">
        <f>'TTE 6 '!C3</f>
        <v>44879</v>
      </c>
      <c r="D7" s="207"/>
      <c r="E7" s="207"/>
      <c r="F7" s="206">
        <f>+'TTE 6 '!C4</f>
        <v>44880</v>
      </c>
      <c r="G7" s="207"/>
      <c r="H7" s="207"/>
      <c r="I7" s="206">
        <f>'TTE 6 '!C5</f>
        <v>44881</v>
      </c>
      <c r="J7" s="207"/>
      <c r="K7" s="207"/>
      <c r="L7" s="206">
        <f>'TTE 6 '!C6</f>
        <v>44882</v>
      </c>
      <c r="M7" s="207"/>
      <c r="N7" s="207"/>
      <c r="O7" s="206">
        <f>+'TTE 6 '!C7</f>
        <v>44883</v>
      </c>
      <c r="P7" s="207"/>
      <c r="Q7" s="207"/>
      <c r="R7" s="206">
        <f>'TTE 6 '!C8</f>
        <v>44884</v>
      </c>
      <c r="S7" s="207"/>
      <c r="T7" s="207"/>
      <c r="U7" s="206">
        <f>'TTE 6 '!C9</f>
        <v>44885</v>
      </c>
      <c r="V7" s="207"/>
      <c r="W7" s="207"/>
      <c r="X7" s="211" t="s">
        <v>107</v>
      </c>
      <c r="Y7" s="212"/>
      <c r="Z7" s="213"/>
      <c r="AA7" s="204" t="s">
        <v>122</v>
      </c>
      <c r="AC7" s="208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05"/>
      <c r="AC8" s="209"/>
    </row>
    <row r="9" spans="2:29" ht="16.2" thickBot="1" x14ac:dyDescent="0.35">
      <c r="B9" s="157" t="s">
        <v>123</v>
      </c>
      <c r="C9" s="201" t="s">
        <v>124</v>
      </c>
      <c r="D9" s="202"/>
      <c r="E9" s="203"/>
      <c r="F9" s="201" t="s">
        <v>124</v>
      </c>
      <c r="G9" s="202"/>
      <c r="H9" s="203"/>
      <c r="I9" s="201" t="s">
        <v>124</v>
      </c>
      <c r="J9" s="202"/>
      <c r="K9" s="203"/>
      <c r="L9" s="201" t="s">
        <v>124</v>
      </c>
      <c r="M9" s="202"/>
      <c r="N9" s="203"/>
      <c r="O9" s="201" t="s">
        <v>124</v>
      </c>
      <c r="P9" s="202"/>
      <c r="Q9" s="203"/>
      <c r="R9" s="201" t="s">
        <v>124</v>
      </c>
      <c r="S9" s="202"/>
      <c r="T9" s="203"/>
      <c r="U9" s="201" t="s">
        <v>124</v>
      </c>
      <c r="V9" s="202"/>
      <c r="W9" s="203"/>
      <c r="X9" s="201" t="s">
        <v>124</v>
      </c>
      <c r="Y9" s="202"/>
      <c r="Z9" s="202"/>
      <c r="AA9" s="158" t="s">
        <v>125</v>
      </c>
      <c r="AC9" s="210"/>
    </row>
    <row r="10" spans="2:29" ht="28.2" thickBot="1" x14ac:dyDescent="0.35">
      <c r="B10" s="159" t="s">
        <v>126</v>
      </c>
      <c r="C10" s="167"/>
      <c r="D10" s="168">
        <v>0</v>
      </c>
      <c r="E10" s="169">
        <v>2</v>
      </c>
      <c r="F10" s="167"/>
      <c r="G10" s="168">
        <v>0</v>
      </c>
      <c r="H10" s="169">
        <v>2</v>
      </c>
      <c r="I10" s="167"/>
      <c r="J10" s="168">
        <v>0</v>
      </c>
      <c r="K10" s="169">
        <v>1</v>
      </c>
      <c r="L10" s="167"/>
      <c r="M10" s="168">
        <v>0</v>
      </c>
      <c r="N10" s="169">
        <v>1</v>
      </c>
      <c r="O10" s="167"/>
      <c r="P10" s="168">
        <v>0</v>
      </c>
      <c r="Q10" s="169">
        <v>0</v>
      </c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0</v>
      </c>
      <c r="Z10" s="171">
        <f>E10+H10+K10+N10+Q10+T10+W10</f>
        <v>6</v>
      </c>
      <c r="AA10" s="173">
        <f>X10+Y10+Z10</f>
        <v>6</v>
      </c>
      <c r="AB10">
        <f>AA10/AC10</f>
        <v>0.4</v>
      </c>
      <c r="AC10" s="175">
        <v>15</v>
      </c>
    </row>
    <row r="11" spans="2:29" ht="28.2" thickBot="1" x14ac:dyDescent="0.35">
      <c r="B11" s="160" t="s">
        <v>127</v>
      </c>
      <c r="C11" s="164"/>
      <c r="D11" s="165"/>
      <c r="E11" s="166">
        <v>4</v>
      </c>
      <c r="F11" s="164"/>
      <c r="G11" s="165"/>
      <c r="H11" s="166">
        <v>2</v>
      </c>
      <c r="I11" s="164"/>
      <c r="J11" s="165"/>
      <c r="K11" s="166">
        <v>4</v>
      </c>
      <c r="L11" s="164"/>
      <c r="M11" s="165"/>
      <c r="N11" s="166">
        <v>2</v>
      </c>
      <c r="O11" s="164"/>
      <c r="P11" s="165"/>
      <c r="Q11" s="166">
        <v>2</v>
      </c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14</v>
      </c>
      <c r="AA11" s="172">
        <f>X11+Y11+Z11</f>
        <v>14</v>
      </c>
      <c r="AB11">
        <f>AA11/AC11</f>
        <v>0.93333333333333335</v>
      </c>
      <c r="AC11" s="176">
        <v>15</v>
      </c>
    </row>
  </sheetData>
  <mergeCells count="18">
    <mergeCell ref="L9:N9"/>
    <mergeCell ref="O9:Q9"/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G6" sqref="G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44879</v>
      </c>
      <c r="D3" s="37">
        <v>0.68402777777777779</v>
      </c>
      <c r="E3" s="37">
        <v>0.70138888888888884</v>
      </c>
      <c r="F3" s="37">
        <v>0.71458333333333324</v>
      </c>
      <c r="G3" s="46">
        <v>0.94930555555555562</v>
      </c>
      <c r="H3" s="46">
        <v>0.95486111111111116</v>
      </c>
      <c r="I3" s="46">
        <v>0.97916666666666663</v>
      </c>
      <c r="J3" s="46">
        <v>0.99305555555555547</v>
      </c>
      <c r="K3" s="47" t="s">
        <v>90</v>
      </c>
      <c r="L3" s="53"/>
      <c r="M3" s="53"/>
      <c r="N3" s="52" t="s">
        <v>15</v>
      </c>
      <c r="O3" s="4">
        <f>Tabla513[[#This Row],[FECHA]]</f>
        <v>44879</v>
      </c>
      <c r="P3" s="7">
        <f>D3</f>
        <v>0.68402777777777779</v>
      </c>
      <c r="Q3" s="7">
        <f>E3-D3</f>
        <v>1.7361111111111049E-2</v>
      </c>
      <c r="R3" s="7">
        <f>F3-E3</f>
        <v>1.3194444444444398E-2</v>
      </c>
      <c r="S3" s="7">
        <f>G3-F3</f>
        <v>0.23472222222222239</v>
      </c>
      <c r="T3" s="7">
        <f>+Tabla513[[#This Row],[ALMUERZO]]-Tabla513[[#This Row],[TERMINO ACT. AM]]</f>
        <v>5.5555555555555358E-3</v>
      </c>
      <c r="U3" s="7">
        <f>+Tabla513[[#This Row],[INICIO ACTIVIDADES PM]]-Tabla513[[#This Row],[ALMUERZO]]</f>
        <v>2.4305555555555469E-2</v>
      </c>
      <c r="V3" s="7">
        <f>+Tabla513[[#This Row],[TERMINO ACTIVIDADES PM]]-Tabla513[[#This Row],[INICIO ACTIVIDADES PM]]</f>
        <v>1.388888888888884E-2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44880</v>
      </c>
      <c r="D4" s="37">
        <v>0.68958333333333333</v>
      </c>
      <c r="E4" s="37">
        <v>0.70833333333333337</v>
      </c>
      <c r="F4" s="37">
        <v>0.71875</v>
      </c>
      <c r="G4" s="46">
        <v>0.94166666666666676</v>
      </c>
      <c r="H4" s="46">
        <v>0.94791666666666663</v>
      </c>
      <c r="I4" s="46">
        <v>0.97222222222222221</v>
      </c>
      <c r="J4" s="46">
        <v>0.99305555555555547</v>
      </c>
      <c r="K4" s="47" t="s">
        <v>90</v>
      </c>
      <c r="M4" s="5"/>
      <c r="N4" s="5" t="s">
        <v>16</v>
      </c>
      <c r="O4" s="4">
        <f>Tabla513[[#This Row],[FECHA]]</f>
        <v>44880</v>
      </c>
      <c r="P4" s="7">
        <f>D4</f>
        <v>0.68958333333333333</v>
      </c>
      <c r="Q4" s="7">
        <f t="shared" ref="Q4:S7" si="0">E4-D4</f>
        <v>1.8750000000000044E-2</v>
      </c>
      <c r="R4" s="7">
        <f t="shared" si="0"/>
        <v>1.041666666666663E-2</v>
      </c>
      <c r="S4" s="7">
        <f t="shared" si="0"/>
        <v>0.22291666666666676</v>
      </c>
      <c r="T4" s="7">
        <f>+Tabla513[[#This Row],[ALMUERZO]]-Tabla513[[#This Row],[TERMINO ACT. AM]]</f>
        <v>6.2499999999998668E-3</v>
      </c>
      <c r="U4" s="7">
        <f>+Tabla513[[#This Row],[INICIO ACTIVIDADES PM]]-Tabla513[[#This Row],[ALMUERZO]]</f>
        <v>2.430555555555558E-2</v>
      </c>
      <c r="V4" s="7">
        <f>+Tabla513[[#This Row],[TERMINO ACTIVIDADES PM]]-Tabla513[[#This Row],[INICIO ACTIVIDADES PM]]</f>
        <v>2.0833333333333259E-2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44881</v>
      </c>
      <c r="D5" s="37">
        <v>0.68402777777777779</v>
      </c>
      <c r="E5" s="37">
        <v>0.70138888888888884</v>
      </c>
      <c r="F5" s="37">
        <v>0.71527777777777779</v>
      </c>
      <c r="G5" s="46">
        <v>0.94861111111111107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44881</v>
      </c>
      <c r="P5" s="7">
        <f>D5</f>
        <v>0.68402777777777779</v>
      </c>
      <c r="Q5" s="7">
        <f t="shared" si="0"/>
        <v>1.7361111111111049E-2</v>
      </c>
      <c r="R5" s="7">
        <f t="shared" si="0"/>
        <v>1.3888888888888951E-2</v>
      </c>
      <c r="S5" s="7">
        <f t="shared" si="0"/>
        <v>0.23333333333333328</v>
      </c>
      <c r="T5" s="7">
        <f>+Tabla513[[#This Row],[ALMUERZO]]-Tabla513[[#This Row],[TERMINO ACT. AM]]</f>
        <v>6.2500000000000888E-3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44882</v>
      </c>
      <c r="D6" s="37">
        <v>0.68402777777777779</v>
      </c>
      <c r="E6" s="37">
        <v>0.71180555555555547</v>
      </c>
      <c r="F6" s="37">
        <v>0.72291666666666676</v>
      </c>
      <c r="G6" s="46">
        <v>0.94166666666666676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44882</v>
      </c>
      <c r="P6" s="7">
        <f>D6</f>
        <v>0.68402777777777779</v>
      </c>
      <c r="Q6" s="7">
        <f t="shared" si="0"/>
        <v>2.7777777777777679E-2</v>
      </c>
      <c r="R6" s="7">
        <f t="shared" si="0"/>
        <v>1.1111111111111294E-2</v>
      </c>
      <c r="S6" s="7">
        <f t="shared" si="0"/>
        <v>0.21875</v>
      </c>
      <c r="T6" s="7">
        <f>+Tabla513[[#This Row],[ALMUERZO]]-Tabla513[[#This Row],[TERMINO ACT. AM]]</f>
        <v>6.2499999999998668E-3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44883</v>
      </c>
      <c r="D7" s="37">
        <v>0.68541666666666667</v>
      </c>
      <c r="E7" s="37">
        <v>0.70138888888888884</v>
      </c>
      <c r="F7" s="37">
        <v>0.71875</v>
      </c>
      <c r="G7" s="46">
        <v>0.94791666666666663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44883</v>
      </c>
      <c r="P7" s="7">
        <f>D7</f>
        <v>0.68541666666666667</v>
      </c>
      <c r="Q7" s="7">
        <f t="shared" si="0"/>
        <v>1.5972222222222165E-2</v>
      </c>
      <c r="R7" s="7">
        <f t="shared" si="0"/>
        <v>1.736111111111116E-2</v>
      </c>
      <c r="S7" s="7">
        <f t="shared" si="0"/>
        <v>0.22916666666666663</v>
      </c>
      <c r="T7" s="7">
        <f>+Tabla513[[#This Row],[ALMUERZO]]-Tabla513[[#This Row],[TERMINO ACT. AM]]</f>
        <v>6.9444444444445308E-3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0.24861111111111123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0.24375000000000002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0.24722222222222212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0.23958333333333326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0.24305555555555547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0.24444444444444441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0.97777777777777763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I7" sqref="I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44879</v>
      </c>
      <c r="D3" s="37">
        <v>0.33749999999999997</v>
      </c>
      <c r="E3" s="37">
        <v>0.36458333333333331</v>
      </c>
      <c r="F3" s="37">
        <v>0.38194444444444442</v>
      </c>
      <c r="G3" s="37">
        <v>0.58333333333333337</v>
      </c>
      <c r="H3" s="37">
        <v>0.59166666666666667</v>
      </c>
      <c r="I3" s="37">
        <v>0.60902777777777783</v>
      </c>
      <c r="J3" s="46">
        <v>0.65972222222222299</v>
      </c>
      <c r="K3" s="47"/>
      <c r="L3" s="53"/>
      <c r="M3" s="53"/>
      <c r="N3" s="57" t="s">
        <v>15</v>
      </c>
      <c r="O3" s="4">
        <f>Tabla51334[[#This Row],[FECHA]]</f>
        <v>44879</v>
      </c>
      <c r="P3" s="7">
        <f>D3</f>
        <v>0.33749999999999997</v>
      </c>
      <c r="Q3" s="7">
        <f>E3-D3</f>
        <v>2.7083333333333348E-2</v>
      </c>
      <c r="R3" s="7">
        <f>F3-E3</f>
        <v>1.7361111111111105E-2</v>
      </c>
      <c r="S3" s="7">
        <f>G3-F3</f>
        <v>0.20138888888888895</v>
      </c>
      <c r="T3" s="7">
        <f>+Tabla51334[[#This Row],[ALMUERZO]]-Tabla51334[[#This Row],[TERMINO ACT. AM]]</f>
        <v>8.3333333333333037E-3</v>
      </c>
      <c r="U3" s="7">
        <f>+Tabla51334[[#This Row],[INICIO ACTIVIDADES PM]]-Tabla51334[[#This Row],[ALMUERZO]]</f>
        <v>1.736111111111116E-2</v>
      </c>
      <c r="V3" s="7">
        <f>+Tabla51334[[#This Row],[TERMINO ACTIVIDADES PM]]-Tabla51334[[#This Row],[INICIO ACTIVIDADES PM]]</f>
        <v>5.0694444444445153E-2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44880</v>
      </c>
      <c r="D4" s="37">
        <v>0.33680555555555558</v>
      </c>
      <c r="E4" s="37">
        <v>0.37847222222222227</v>
      </c>
      <c r="F4" s="37">
        <v>0.3888888888888889</v>
      </c>
      <c r="G4" s="37">
        <v>0.61388888888888882</v>
      </c>
      <c r="H4" s="37">
        <v>0.62152777777777779</v>
      </c>
      <c r="I4" s="37">
        <v>0.64583333333333337</v>
      </c>
      <c r="J4" s="46">
        <v>0.65972222222222221</v>
      </c>
      <c r="K4" s="47"/>
      <c r="M4" s="5"/>
      <c r="N4" s="5" t="s">
        <v>16</v>
      </c>
      <c r="O4" s="4">
        <f>Tabla51334[[#This Row],[FECHA]]</f>
        <v>44880</v>
      </c>
      <c r="P4" s="7">
        <f>D4</f>
        <v>0.33680555555555558</v>
      </c>
      <c r="Q4" s="7">
        <f t="shared" ref="Q4:S7" si="0">E4-D4</f>
        <v>4.1666666666666685E-2</v>
      </c>
      <c r="R4" s="7">
        <f t="shared" si="0"/>
        <v>1.041666666666663E-2</v>
      </c>
      <c r="S4" s="7">
        <f t="shared" si="0"/>
        <v>0.22499999999999992</v>
      </c>
      <c r="T4" s="7">
        <f>+Tabla51334[[#This Row],[ALMUERZO]]-Tabla51334[[#This Row],[TERMINO ACT. AM]]</f>
        <v>7.6388888888889728E-3</v>
      </c>
      <c r="U4" s="7">
        <f>+Tabla51334[[#This Row],[INICIO ACTIVIDADES PM]]-Tabla51334[[#This Row],[ALMUERZO]]</f>
        <v>2.430555555555558E-2</v>
      </c>
      <c r="V4" s="7">
        <f>+Tabla51334[[#This Row],[TERMINO ACTIVIDADES PM]]-Tabla51334[[#This Row],[INICIO ACTIVIDADES PM]]</f>
        <v>1.388888888888884E-2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44881</v>
      </c>
      <c r="D5" s="37">
        <v>0.33680555555555558</v>
      </c>
      <c r="E5" s="37">
        <v>0.37152777777777773</v>
      </c>
      <c r="F5" s="37">
        <v>0.38263888888888892</v>
      </c>
      <c r="G5" s="37">
        <v>0.51527777777777783</v>
      </c>
      <c r="H5" s="37">
        <v>0.52083333333333337</v>
      </c>
      <c r="I5" s="37">
        <v>0.54513888888888895</v>
      </c>
      <c r="J5" s="46">
        <v>0.65972222222222221</v>
      </c>
      <c r="K5" s="47"/>
      <c r="M5" s="5"/>
      <c r="N5" s="5" t="s">
        <v>16</v>
      </c>
      <c r="O5" s="4">
        <f>Tabla51334[[#This Row],[FECHA]]</f>
        <v>44881</v>
      </c>
      <c r="P5" s="7">
        <f>D5</f>
        <v>0.33680555555555558</v>
      </c>
      <c r="Q5" s="7">
        <f t="shared" si="0"/>
        <v>3.4722222222222154E-2</v>
      </c>
      <c r="R5" s="7">
        <f t="shared" si="0"/>
        <v>1.1111111111111183E-2</v>
      </c>
      <c r="S5" s="7">
        <f t="shared" si="0"/>
        <v>0.13263888888888892</v>
      </c>
      <c r="T5" s="7">
        <f>+Tabla51334[[#This Row],[ALMUERZO]]-Tabla51334[[#This Row],[TERMINO ACT. AM]]</f>
        <v>5.5555555555555358E-3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0.11458333333333326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44882</v>
      </c>
      <c r="D6" s="37">
        <v>0.34027777777777773</v>
      </c>
      <c r="E6" s="37">
        <v>0.37361111111111112</v>
      </c>
      <c r="F6" s="37">
        <v>0.38541666666666669</v>
      </c>
      <c r="G6" s="37">
        <v>0.58333333333333337</v>
      </c>
      <c r="H6" s="37">
        <v>0.59375</v>
      </c>
      <c r="I6" s="37">
        <v>0.61249999999999993</v>
      </c>
      <c r="J6" s="46">
        <v>0.65972222222222299</v>
      </c>
      <c r="K6" s="47"/>
      <c r="M6" s="5"/>
      <c r="N6" s="5" t="s">
        <v>17</v>
      </c>
      <c r="O6" s="4">
        <f>Tabla51334[[#This Row],[FECHA]]</f>
        <v>44882</v>
      </c>
      <c r="P6" s="7">
        <f>D6</f>
        <v>0.34027777777777773</v>
      </c>
      <c r="Q6" s="7">
        <f t="shared" si="0"/>
        <v>3.3333333333333381E-2</v>
      </c>
      <c r="R6" s="7">
        <f t="shared" si="0"/>
        <v>1.1805555555555569E-2</v>
      </c>
      <c r="S6" s="7">
        <f t="shared" si="0"/>
        <v>0.19791666666666669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1.8749999999999933E-2</v>
      </c>
      <c r="V6" s="7">
        <f>+Tabla51334[[#This Row],[TERMINO ACTIVIDADES PM]]-Tabla51334[[#This Row],[INICIO ACTIVIDADES PM]]</f>
        <v>4.7222222222223054E-2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44883</v>
      </c>
      <c r="D7" s="37">
        <v>0.33680555555555558</v>
      </c>
      <c r="E7" s="37">
        <v>0.36458333333333331</v>
      </c>
      <c r="F7" s="37">
        <v>0.37847222222222227</v>
      </c>
      <c r="G7" s="46">
        <v>0.51041666666666663</v>
      </c>
      <c r="H7" s="37">
        <v>0.52083333333333337</v>
      </c>
      <c r="I7" s="37">
        <v>0.54166666666666663</v>
      </c>
      <c r="J7" s="46">
        <v>0.65972222222222299</v>
      </c>
      <c r="K7" s="47"/>
      <c r="M7" s="5"/>
      <c r="N7" s="5" t="s">
        <v>18</v>
      </c>
      <c r="O7" s="4">
        <f>Tabla51334[[#This Row],[FECHA]]</f>
        <v>44883</v>
      </c>
      <c r="P7" s="7">
        <f>D7</f>
        <v>0.33680555555555558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0.13194444444444436</v>
      </c>
      <c r="T7" s="7">
        <f>+Tabla51334[[#This Row],[ALMUERZO]]-Tabla51334[[#This Row],[TERMINO ACT. AM]]</f>
        <v>1.0416666666666741E-2</v>
      </c>
      <c r="U7" s="7">
        <f>+Tabla51334[[#This Row],[INICIO ACTIVIDADES PM]]-Tabla51334[[#This Row],[ALMUERZO]]</f>
        <v>2.0833333333333259E-2</v>
      </c>
      <c r="V7" s="7">
        <f>+Tabla51334[[#This Row],[TERMINO ACTIVIDADES PM]]-Tabla51334[[#This Row],[INICIO ACTIVIDADES PM]]</f>
        <v>0.11805555555555636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0.2520833333333341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0.23888888888888876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0.24722222222222218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0.24513888888888974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0.25000000000000072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0.24666666666666709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0.98666666666666836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F6" sqref="F6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44879</v>
      </c>
      <c r="D3" s="37">
        <v>0.34375</v>
      </c>
      <c r="E3" s="37">
        <v>0.36458333333333331</v>
      </c>
      <c r="F3" s="37">
        <v>0.37847222222222227</v>
      </c>
      <c r="G3" s="37">
        <v>0.60902777777777783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Tabla536[[#This Row],[FECHA]]</f>
        <v>44879</v>
      </c>
      <c r="P3" s="7">
        <f>D3</f>
        <v>0.34375</v>
      </c>
      <c r="Q3" s="7">
        <f>E3-D3</f>
        <v>2.0833333333333315E-2</v>
      </c>
      <c r="R3" s="7">
        <f>F3-E3</f>
        <v>1.3888888888888951E-2</v>
      </c>
      <c r="S3" s="7">
        <f>G3-F3</f>
        <v>0.23055555555555557</v>
      </c>
      <c r="T3" s="7">
        <f>+Tabla536[[#This Row],[ALMUERZO]]-Tabla536[[#This Row],[TERMINO ACT. AM]]</f>
        <v>5.5555555555555358E-3</v>
      </c>
      <c r="U3" s="7">
        <f>+Tabla536[[#This Row],[INICIO ACTIVIDADES PM]]-Tabla536[[#This Row],[ALMUERZO]]</f>
        <v>2.430555555555558E-2</v>
      </c>
      <c r="V3" s="7">
        <f>+Tabla536[[#This Row],[TERMINO ACTIVIDADES PM]]-Tabla536[[#This Row],[INICIO ACTIVIDADES PM]]</f>
        <v>2.0833333333333259E-2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44880</v>
      </c>
      <c r="D4" s="37">
        <v>0.34027777777777773</v>
      </c>
      <c r="E4" s="37">
        <v>0.37152777777777773</v>
      </c>
      <c r="F4" s="37">
        <v>0.37777777777777777</v>
      </c>
      <c r="G4" s="37">
        <v>0.60625000000000007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Tabla536[[#This Row],[FECHA]]</f>
        <v>44880</v>
      </c>
      <c r="P4" s="7">
        <f>D4</f>
        <v>0.34027777777777773</v>
      </c>
      <c r="Q4" s="7">
        <f t="shared" ref="Q4:S7" si="0">E4-D4</f>
        <v>3.125E-2</v>
      </c>
      <c r="R4" s="7">
        <f t="shared" si="0"/>
        <v>6.2500000000000333E-3</v>
      </c>
      <c r="S4" s="7">
        <f t="shared" si="0"/>
        <v>0.2284722222222223</v>
      </c>
      <c r="T4" s="7">
        <f>+Tabla536[[#This Row],[ALMUERZO]]-Tabla536[[#This Row],[TERMINO ACT. AM]]</f>
        <v>1.1805555555555514E-2</v>
      </c>
      <c r="U4" s="7">
        <f>+Tabla536[[#This Row],[INICIO ACTIVIDADES PM]]-Tabla536[[#This Row],[ALMUERZO]]</f>
        <v>2.2222222222222254E-2</v>
      </c>
      <c r="V4" s="7">
        <f>+Tabla536[[#This Row],[TERMINO ACTIVIDADES PM]]-Tabla536[[#This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44881</v>
      </c>
      <c r="D5" s="37">
        <v>0.33680555555555558</v>
      </c>
      <c r="E5" s="37">
        <v>0.36458333333333331</v>
      </c>
      <c r="F5" s="37">
        <v>0.37916666666666665</v>
      </c>
      <c r="G5" s="37">
        <v>0.61527777777777781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Tabla536[[#This Row],[FECHA]]</f>
        <v>44881</v>
      </c>
      <c r="P5" s="7">
        <f>D5</f>
        <v>0.33680555555555558</v>
      </c>
      <c r="Q5" s="7">
        <f t="shared" si="0"/>
        <v>2.7777777777777735E-2</v>
      </c>
      <c r="R5" s="7">
        <f t="shared" si="0"/>
        <v>1.4583333333333337E-2</v>
      </c>
      <c r="S5" s="7">
        <f t="shared" si="0"/>
        <v>0.23611111111111116</v>
      </c>
      <c r="T5" s="7">
        <f>+Tabla536[[#This Row],[ALMUERZO]]-Tabla536[[#This Row],[TERMINO ACT. AM]]</f>
        <v>6.2499999999999778E-3</v>
      </c>
      <c r="U5" s="7">
        <f>+Tabla536[[#This Row],[INICIO ACTIVIDADES PM]]-Tabla536[[#This Row],[ALMUERZO]]</f>
        <v>2.2916666666666696E-2</v>
      </c>
      <c r="V5" s="7">
        <f>+Tabla536[[#This Row],[TERMINO ACTIVIDADES PM]]-Tabla536[[#This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44882</v>
      </c>
      <c r="D6" s="37">
        <v>0.34027777777777773</v>
      </c>
      <c r="E6" s="37">
        <v>0.36458333333333331</v>
      </c>
      <c r="F6" s="37">
        <v>0.37847222222222227</v>
      </c>
      <c r="G6" s="37">
        <v>0.60416666666666663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44882</v>
      </c>
      <c r="P6" s="7">
        <f>D6</f>
        <v>0.34027777777777773</v>
      </c>
      <c r="Q6" s="7">
        <f t="shared" si="0"/>
        <v>2.430555555555558E-2</v>
      </c>
      <c r="R6" s="7">
        <f t="shared" si="0"/>
        <v>1.3888888888888951E-2</v>
      </c>
      <c r="S6" s="7">
        <f t="shared" si="0"/>
        <v>0.22569444444444436</v>
      </c>
      <c r="T6" s="7">
        <f>+Tabla536[[#This Row],[ALMUERZO]]-Tabla536[[#This Row],[TERMINO ACT. AM]]</f>
        <v>1.0416666666666741E-2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44883</v>
      </c>
      <c r="D7" s="37">
        <v>0.34375</v>
      </c>
      <c r="E7" s="37">
        <v>0.36805555555555558</v>
      </c>
      <c r="F7" s="37">
        <v>0.37847222222222227</v>
      </c>
      <c r="G7" s="37">
        <v>0.60555555555555551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44883</v>
      </c>
      <c r="P7" s="7">
        <f>D7</f>
        <v>0.34375</v>
      </c>
      <c r="Q7" s="7">
        <f t="shared" si="0"/>
        <v>2.430555555555558E-2</v>
      </c>
      <c r="R7" s="7">
        <f t="shared" si="0"/>
        <v>1.0416666666666685E-2</v>
      </c>
      <c r="S7" s="7">
        <f t="shared" si="0"/>
        <v>0.22708333333333325</v>
      </c>
      <c r="T7" s="7">
        <f>+Tabla536[[#This Row],[ALMUERZO]]-Tabla536[[#This Row],[TERMINO ACT. AM]]</f>
        <v>5.5555555555555358E-3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0.25138888888888883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0.24791666666666667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0.25138888888888888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0.24652777777777762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0.25138888888888883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0.24972222222222218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0.99888888888888872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103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G7" sqref="G7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44879</v>
      </c>
      <c r="D3" s="37">
        <v>0.34166666666666662</v>
      </c>
      <c r="E3" s="37">
        <v>0.36458333333333331</v>
      </c>
      <c r="F3" s="37">
        <v>0.37291666666666662</v>
      </c>
      <c r="G3" s="37">
        <v>0.60416666666666663</v>
      </c>
      <c r="H3" s="37">
        <v>0.61458333333333337</v>
      </c>
      <c r="I3" s="37">
        <v>0.63888888888888895</v>
      </c>
      <c r="J3" s="46">
        <v>0.65972222222222221</v>
      </c>
      <c r="K3" s="47"/>
      <c r="L3" s="53"/>
      <c r="M3" s="53"/>
      <c r="N3" s="57" t="s">
        <v>15</v>
      </c>
      <c r="O3" s="4">
        <f>Tabla537[[#This Row],[FECHA]]</f>
        <v>44879</v>
      </c>
      <c r="P3" s="7">
        <f>D3</f>
        <v>0.34166666666666662</v>
      </c>
      <c r="Q3" s="7">
        <f>E3-D3</f>
        <v>2.2916666666666696E-2</v>
      </c>
      <c r="R3" s="7">
        <f>F3-E3</f>
        <v>8.3333333333333037E-3</v>
      </c>
      <c r="S3" s="7">
        <f>G3-F3</f>
        <v>0.23125000000000001</v>
      </c>
      <c r="T3" s="7">
        <f>+Tabla537[[#This Row],[ALMUERZO]]-Tabla537[[#This Row],[TERMINO ACT. AM]]</f>
        <v>1.0416666666666741E-2</v>
      </c>
      <c r="U3" s="7">
        <f>+Tabla537[[#This Row],[INICIO ACTIVIDADES PM]]-Tabla537[[#This Row],[ALMUERZO]]</f>
        <v>2.430555555555558E-2</v>
      </c>
      <c r="V3" s="7">
        <f>+Tabla537[[#This Row],[TERMINO ACTIVIDADES PM]]-Tabla537[[#This Row],[INICIO ACTIVIDADES PM]]</f>
        <v>2.0833333333333259E-2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44880</v>
      </c>
      <c r="D4" s="37">
        <v>0.34027777777777773</v>
      </c>
      <c r="E4" s="37">
        <v>0.37152777777777773</v>
      </c>
      <c r="F4" s="37">
        <v>0.37708333333333338</v>
      </c>
      <c r="G4" s="37">
        <v>0.60555555555555551</v>
      </c>
      <c r="H4" s="37">
        <v>0.61805555555555558</v>
      </c>
      <c r="I4" s="37">
        <v>0.64027777777777783</v>
      </c>
      <c r="J4" s="46">
        <v>0.65972222222222221</v>
      </c>
      <c r="K4" s="47"/>
      <c r="M4" s="5"/>
      <c r="N4" s="5" t="s">
        <v>16</v>
      </c>
      <c r="O4" s="4">
        <f>Tabla537[[#This Row],[FECHA]]</f>
        <v>44880</v>
      </c>
      <c r="P4" s="7">
        <f>D4</f>
        <v>0.34027777777777773</v>
      </c>
      <c r="Q4" s="7">
        <f t="shared" ref="Q4:S7" si="0">E4-D4</f>
        <v>3.125E-2</v>
      </c>
      <c r="R4" s="7">
        <f t="shared" si="0"/>
        <v>5.5555555555556468E-3</v>
      </c>
      <c r="S4" s="7">
        <f t="shared" si="0"/>
        <v>0.22847222222222213</v>
      </c>
      <c r="T4" s="7">
        <f>+Tabla537[[#This Row],[ALMUERZO]]-Tabla537[[#This Row],[TERMINO ACT. AM]]</f>
        <v>1.2500000000000067E-2</v>
      </c>
      <c r="U4" s="7">
        <f>+Tabla537[[#This Row],[INICIO ACTIVIDADES PM]]-Tabla537[[#This Row],[ALMUERZO]]</f>
        <v>2.2222222222222254E-2</v>
      </c>
      <c r="V4" s="7">
        <f>+Tabla537[[#This Row],[TERMINO ACTIVIDADES PM]]-Tabla537[[#This Row],[INICIO ACTIVIDADES PM]]</f>
        <v>1.9444444444444375E-2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44881</v>
      </c>
      <c r="D5" s="37">
        <v>0.33888888888888885</v>
      </c>
      <c r="E5" s="37">
        <v>0.36458333333333331</v>
      </c>
      <c r="F5" s="37">
        <v>0.37777777777777777</v>
      </c>
      <c r="G5" s="37">
        <v>0.61249999999999993</v>
      </c>
      <c r="H5" s="37">
        <v>0.62152777777777779</v>
      </c>
      <c r="I5" s="37">
        <v>0.64444444444444449</v>
      </c>
      <c r="J5" s="46">
        <v>0.65972222222222221</v>
      </c>
      <c r="K5" s="47"/>
      <c r="M5" s="5"/>
      <c r="N5" s="5" t="s">
        <v>16</v>
      </c>
      <c r="O5" s="4">
        <f>Tabla537[[#This Row],[FECHA]]</f>
        <v>44881</v>
      </c>
      <c r="P5" s="7">
        <f>D5</f>
        <v>0.33888888888888885</v>
      </c>
      <c r="Q5" s="7">
        <f t="shared" si="0"/>
        <v>2.5694444444444464E-2</v>
      </c>
      <c r="R5" s="7">
        <f t="shared" si="0"/>
        <v>1.3194444444444453E-2</v>
      </c>
      <c r="S5" s="7">
        <f t="shared" si="0"/>
        <v>0.23472222222222217</v>
      </c>
      <c r="T5" s="7">
        <f>+Tabla537[[#This Row],[ALMUERZO]]-Tabla537[[#This Row],[TERMINO ACT. AM]]</f>
        <v>9.0277777777778567E-3</v>
      </c>
      <c r="U5" s="7">
        <f>+Tabla537[[#This Row],[INICIO ACTIVIDADES PM]]-Tabla537[[#This Row],[ALMUERZO]]</f>
        <v>2.2916666666666696E-2</v>
      </c>
      <c r="V5" s="7">
        <f>+Tabla537[[#This Row],[TERMINO ACTIVIDADES PM]]-Tabla537[[#This Row],[INICIO ACTIVIDADES PM]]</f>
        <v>1.5277777777777724E-2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44882</v>
      </c>
      <c r="D6" s="37">
        <v>0.34027777777777773</v>
      </c>
      <c r="E6" s="37">
        <v>0.36458333333333331</v>
      </c>
      <c r="F6" s="37">
        <v>0.37986111111111115</v>
      </c>
      <c r="G6" s="37">
        <v>0.61111111111111105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44882</v>
      </c>
      <c r="P6" s="7">
        <f>D6</f>
        <v>0.34027777777777773</v>
      </c>
      <c r="Q6" s="7">
        <f t="shared" si="0"/>
        <v>2.430555555555558E-2</v>
      </c>
      <c r="R6" s="7">
        <f t="shared" si="0"/>
        <v>1.5277777777777835E-2</v>
      </c>
      <c r="S6" s="7">
        <f t="shared" si="0"/>
        <v>0.2312499999999999</v>
      </c>
      <c r="T6" s="7">
        <f>+Tabla537[[#This Row],[ALMUERZO]]-Tabla537[[#This Row],[TERMINO ACT. AM]]</f>
        <v>3.4722222222223209E-3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44883</v>
      </c>
      <c r="D7" s="37">
        <v>0.34375</v>
      </c>
      <c r="E7" s="37">
        <v>0.36805555555555558</v>
      </c>
      <c r="F7" s="37">
        <v>0.37916666666666665</v>
      </c>
      <c r="G7" s="37">
        <v>0.60763888888888895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44883</v>
      </c>
      <c r="P7" s="7">
        <f>D7</f>
        <v>0.34375</v>
      </c>
      <c r="Q7" s="7">
        <f t="shared" si="0"/>
        <v>2.430555555555558E-2</v>
      </c>
      <c r="R7" s="7">
        <f t="shared" si="0"/>
        <v>1.1111111111111072E-2</v>
      </c>
      <c r="S7" s="7">
        <f t="shared" si="0"/>
        <v>0.2284722222222223</v>
      </c>
      <c r="T7" s="7">
        <f>+Tabla537[[#This Row],[ALMUERZO]]-Tabla537[[#This Row],[TERMINO ACT. AM]]</f>
        <v>3.4722222222220989E-3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0.25208333333333327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0.24791666666666651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0.24999999999999989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0.25208333333333316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0.25277777777777788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0.2509722222222221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1.0038888888888884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104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6" sqref="F6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44879</v>
      </c>
      <c r="D3" s="37">
        <v>0.33680555555555558</v>
      </c>
      <c r="E3" s="37">
        <v>0.34375</v>
      </c>
      <c r="F3" s="37">
        <v>0.3527777777777778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44879</v>
      </c>
      <c r="P3" s="7">
        <f>D3</f>
        <v>0.33680555555555558</v>
      </c>
      <c r="Q3" s="7">
        <f>E3-D3</f>
        <v>6.9444444444444198E-3</v>
      </c>
      <c r="R3" s="7">
        <f>F3-E3</f>
        <v>9.0277777777778012E-3</v>
      </c>
      <c r="S3" s="7">
        <f>G3-F3</f>
        <v>0.18888888888888883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44880</v>
      </c>
      <c r="D4" s="37">
        <v>0.33680555555555558</v>
      </c>
      <c r="E4" s="37">
        <v>0.34652777777777777</v>
      </c>
      <c r="F4" s="37">
        <v>0.35625000000000001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44880</v>
      </c>
      <c r="P4" s="7">
        <f>D4</f>
        <v>0.33680555555555558</v>
      </c>
      <c r="Q4" s="7">
        <f t="shared" ref="Q4:S7" si="0">E4-D4</f>
        <v>9.7222222222221877E-3</v>
      </c>
      <c r="R4" s="7">
        <f t="shared" si="0"/>
        <v>9.7222222222222432E-3</v>
      </c>
      <c r="S4" s="7">
        <f t="shared" si="0"/>
        <v>0.18194444444444441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44881</v>
      </c>
      <c r="D5" s="37">
        <v>0.33680555555555558</v>
      </c>
      <c r="E5" s="37">
        <v>0.34375</v>
      </c>
      <c r="F5" s="37">
        <v>0.3527777777777778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44881</v>
      </c>
      <c r="P5" s="7">
        <f>D5</f>
        <v>0.33680555555555558</v>
      </c>
      <c r="Q5" s="7">
        <f t="shared" si="0"/>
        <v>6.9444444444444198E-3</v>
      </c>
      <c r="R5" s="7">
        <f t="shared" si="0"/>
        <v>9.0277777777778012E-3</v>
      </c>
      <c r="S5" s="7">
        <f t="shared" si="0"/>
        <v>0.18888888888888883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44882</v>
      </c>
      <c r="D6" s="37">
        <v>0.33680555555555602</v>
      </c>
      <c r="E6" s="37">
        <v>0.34375</v>
      </c>
      <c r="F6" s="37">
        <v>0.35555555555555557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44882</v>
      </c>
      <c r="P6" s="7">
        <f>D6</f>
        <v>0.33680555555555602</v>
      </c>
      <c r="Q6" s="7">
        <f t="shared" si="0"/>
        <v>6.9444444444439757E-3</v>
      </c>
      <c r="R6" s="7">
        <f t="shared" si="0"/>
        <v>1.1805555555555569E-2</v>
      </c>
      <c r="S6" s="7">
        <f t="shared" si="0"/>
        <v>0.17569444444444443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44883</v>
      </c>
      <c r="D7" s="37">
        <v>0.33680555555555602</v>
      </c>
      <c r="E7" s="37">
        <v>0.34513888888888888</v>
      </c>
      <c r="F7" s="37">
        <v>0.35347222222222219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44883</v>
      </c>
      <c r="P7" s="7">
        <f>D7</f>
        <v>0.33680555555555602</v>
      </c>
      <c r="Q7" s="7">
        <f t="shared" si="0"/>
        <v>8.3333333333328596E-3</v>
      </c>
      <c r="R7" s="7">
        <f t="shared" si="0"/>
        <v>8.3333333333333037E-3</v>
      </c>
      <c r="S7" s="7">
        <f t="shared" si="0"/>
        <v>0.17777777777777781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0.44236111111111115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0.43888888888888883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0.44930555555555524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0.43611111111111084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0.4347222222222219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0.4402777777777776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1.0393442622950815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103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G8" sqref="G8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44879</v>
      </c>
      <c r="D3" s="37">
        <v>0.34375</v>
      </c>
      <c r="E3" s="37">
        <v>0.35069444444444442</v>
      </c>
      <c r="F3" s="37">
        <v>0.37222222222222223</v>
      </c>
      <c r="G3" s="37">
        <v>0.54652777777777783</v>
      </c>
      <c r="H3" s="37">
        <v>0.55208333333333337</v>
      </c>
      <c r="I3" s="37">
        <v>0.57638888888888895</v>
      </c>
      <c r="J3" s="46">
        <v>0.65972222222222199</v>
      </c>
      <c r="K3" s="47"/>
      <c r="L3" s="53"/>
      <c r="M3" s="53"/>
      <c r="N3" s="57" t="s">
        <v>15</v>
      </c>
      <c r="O3" s="4">
        <f>Tabla53[[#This Row],[FECHA]]</f>
        <v>44879</v>
      </c>
      <c r="P3" s="7">
        <f>D3</f>
        <v>0.34375</v>
      </c>
      <c r="Q3" s="7">
        <f>E3-D3</f>
        <v>6.9444444444444198E-3</v>
      </c>
      <c r="R3" s="7">
        <f>F3-E3</f>
        <v>2.1527777777777812E-2</v>
      </c>
      <c r="S3" s="7">
        <f>G3-F3</f>
        <v>0.1743055555555556</v>
      </c>
      <c r="T3" s="7">
        <f>+Tabla53[[#This Row],[ALMUERZO]]-Tabla53[[#This Row],[TERMINO ACT. AM]]</f>
        <v>5.5555555555555358E-3</v>
      </c>
      <c r="U3" s="7">
        <f>+Tabla53[[#This Row],[INICIO ACTIVIDADES PM]]-Tabla53[[#This Row],[ALMUERZO]]</f>
        <v>2.430555555555558E-2</v>
      </c>
      <c r="V3" s="7">
        <f>+Tabla53[[#This Row],[TERMINO ACTIVIDADES PM]]-Tabla53[[#This Row],[INICIO ACTIVIDADES PM]]</f>
        <v>8.3333333333333037E-2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44880</v>
      </c>
      <c r="D4" s="37">
        <v>0.34027777777777773</v>
      </c>
      <c r="E4" s="37">
        <v>0.37847222222222227</v>
      </c>
      <c r="F4" s="37">
        <v>0.38680555555555557</v>
      </c>
      <c r="G4" s="37">
        <v>0.59791666666666665</v>
      </c>
      <c r="H4" s="37">
        <v>0.60069444444444442</v>
      </c>
      <c r="I4" s="37">
        <v>0.625</v>
      </c>
      <c r="J4" s="46">
        <v>0.65972222222222221</v>
      </c>
      <c r="K4" s="47"/>
      <c r="M4" s="5"/>
      <c r="N4" s="5" t="s">
        <v>16</v>
      </c>
      <c r="O4" s="4">
        <f>Tabla53[[#This Row],[FECHA]]</f>
        <v>44880</v>
      </c>
      <c r="P4" s="7">
        <f>D4</f>
        <v>0.34027777777777773</v>
      </c>
      <c r="Q4" s="7">
        <f t="shared" ref="Q4:S7" si="0">E4-D4</f>
        <v>3.8194444444444531E-2</v>
      </c>
      <c r="R4" s="7">
        <f t="shared" si="0"/>
        <v>8.3333333333333037E-3</v>
      </c>
      <c r="S4" s="7">
        <f t="shared" si="0"/>
        <v>0.21111111111111108</v>
      </c>
      <c r="T4" s="7">
        <f>+Tabla53[[#This Row],[ALMUERZO]]-Tabla53[[#This Row],[TERMINO ACT. AM]]</f>
        <v>2.7777777777777679E-3</v>
      </c>
      <c r="U4" s="7">
        <f>+Tabla53[[#This Row],[INICIO ACTIVIDADES PM]]-Tabla53[[#This Row],[ALMUERZO]]</f>
        <v>2.430555555555558E-2</v>
      </c>
      <c r="V4" s="7">
        <f>+Tabla53[[#This Row],[TERMINO ACTIVIDADES PM]]-Tabla53[[#This Row],[INICIO ACTIVIDADES PM]]</f>
        <v>3.472222222222221E-2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44881</v>
      </c>
      <c r="D5" s="37">
        <v>0.33680555555555558</v>
      </c>
      <c r="E5" s="37">
        <v>0.38541666666666669</v>
      </c>
      <c r="F5" s="37">
        <v>0.38958333333333334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44881</v>
      </c>
      <c r="P5" s="7">
        <f>D5</f>
        <v>0.33680555555555558</v>
      </c>
      <c r="Q5" s="7">
        <f t="shared" si="0"/>
        <v>4.8611111111111105E-2</v>
      </c>
      <c r="R5" s="7">
        <f t="shared" si="0"/>
        <v>4.1666666666666519E-3</v>
      </c>
      <c r="S5" s="7">
        <f t="shared" si="0"/>
        <v>0.19722222222222224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44882</v>
      </c>
      <c r="D6" s="37">
        <v>0.34375</v>
      </c>
      <c r="E6" s="37">
        <v>0.35069444444444442</v>
      </c>
      <c r="F6" s="37">
        <v>0.37222222222222223</v>
      </c>
      <c r="G6" s="37">
        <v>0.54652777777777783</v>
      </c>
      <c r="H6" s="37">
        <v>0.55208333333333337</v>
      </c>
      <c r="I6" s="37">
        <v>0.57638888888888895</v>
      </c>
      <c r="J6" s="46">
        <v>0.65972222222222199</v>
      </c>
      <c r="K6" s="47"/>
      <c r="M6" s="5"/>
      <c r="N6" s="5" t="s">
        <v>17</v>
      </c>
      <c r="O6" s="4">
        <f>Tabla53[[#This Row],[FECHA]]</f>
        <v>44882</v>
      </c>
      <c r="P6" s="7">
        <f>D6</f>
        <v>0.34375</v>
      </c>
      <c r="Q6" s="7">
        <f t="shared" si="0"/>
        <v>6.9444444444444198E-3</v>
      </c>
      <c r="R6" s="7">
        <f t="shared" si="0"/>
        <v>2.1527777777777812E-2</v>
      </c>
      <c r="S6" s="7">
        <f t="shared" si="0"/>
        <v>0.1743055555555556</v>
      </c>
      <c r="T6" s="7">
        <f>+Tabla53[[#This Row],[ALMUERZO]]-Tabla53[[#This Row],[TERMINO ACT. AM]]</f>
        <v>5.5555555555555358E-3</v>
      </c>
      <c r="U6" s="7">
        <f>+Tabla53[[#This Row],[INICIO ACTIVIDADES PM]]-Tabla53[[#This Row],[ALMUERZO]]</f>
        <v>2.430555555555558E-2</v>
      </c>
      <c r="V6" s="7">
        <f>+Tabla53[[#This Row],[TERMINO ACTIVIDADES PM]]-Tabla53[[#This Row],[INICIO ACTIVIDADES PM]]</f>
        <v>8.3333333333333037E-2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44883</v>
      </c>
      <c r="D7" s="37">
        <v>0.33680555555555558</v>
      </c>
      <c r="E7" s="37">
        <v>0.37152777777777773</v>
      </c>
      <c r="F7" s="37">
        <v>0.37708333333333338</v>
      </c>
      <c r="G7" s="37">
        <v>0.59236111111111112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44883</v>
      </c>
      <c r="P7" s="7">
        <f>D7</f>
        <v>0.33680555555555558</v>
      </c>
      <c r="Q7" s="7">
        <f t="shared" si="0"/>
        <v>3.4722222222222154E-2</v>
      </c>
      <c r="R7" s="7">
        <f t="shared" si="0"/>
        <v>5.5555555555556468E-3</v>
      </c>
      <c r="S7" s="7">
        <f t="shared" si="0"/>
        <v>0.21527777777777773</v>
      </c>
      <c r="T7" s="7">
        <f>+Tabla53[[#This Row],[ALMUERZO]]-Tabla53[[#This Row],[TERMINO ACT. AM]]</f>
        <v>8.3333333333333037E-3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0.25763888888888864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0.24583333333333329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0.24236111111111086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0.25763888888888864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0.24999999999999972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0.25069444444444422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1.0027777777777769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8" t="s">
        <v>105</v>
      </c>
      <c r="K27" s="179" t="s">
        <v>103</v>
      </c>
      <c r="T27" s="3"/>
    </row>
    <row r="28" spans="1:20" ht="15.6" customHeight="1" x14ac:dyDescent="0.3">
      <c r="J28" s="178"/>
      <c r="K28" s="180"/>
      <c r="T28" s="3"/>
    </row>
    <row r="29" spans="1:20" ht="15.6" customHeight="1" x14ac:dyDescent="0.3">
      <c r="J29" s="178"/>
      <c r="K29" s="180"/>
      <c r="T29" s="3"/>
    </row>
    <row r="30" spans="1:20" ht="15.6" customHeight="1" x14ac:dyDescent="0.3">
      <c r="J30" s="178"/>
      <c r="K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6" sqref="F6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  <col min="18" max="18" width="13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44879</v>
      </c>
      <c r="D3" s="37">
        <v>0.64583333333333337</v>
      </c>
      <c r="E3" s="37">
        <v>0.69027777777777777</v>
      </c>
      <c r="F3" s="37">
        <v>0.70694444444444438</v>
      </c>
      <c r="G3" s="37">
        <v>0.92708333333333337</v>
      </c>
      <c r="H3" s="37">
        <v>0.93402777777777779</v>
      </c>
      <c r="I3" s="37">
        <v>0.96180555555555547</v>
      </c>
      <c r="J3" s="46">
        <v>0.98611111111111105</v>
      </c>
      <c r="K3" s="81" t="s">
        <v>94</v>
      </c>
      <c r="L3" s="53"/>
      <c r="M3" s="53"/>
      <c r="N3" s="57" t="s">
        <v>15</v>
      </c>
      <c r="O3" s="4">
        <f>Tabla53839[[#This Row],[FECHA]]</f>
        <v>44879</v>
      </c>
      <c r="P3" s="7">
        <f>D3</f>
        <v>0.64583333333333337</v>
      </c>
      <c r="Q3" s="7">
        <f>E3-D3</f>
        <v>4.4444444444444398E-2</v>
      </c>
      <c r="R3" s="7">
        <f>F3-E3</f>
        <v>1.6666666666666607E-2</v>
      </c>
      <c r="S3" s="7">
        <f>G3-F3</f>
        <v>0.22013888888888899</v>
      </c>
      <c r="T3" s="7">
        <f>+Tabla53839[[#This Row],[ALMUERZO]]-Tabla53839[[#This Row],[TERMINO ACT. AM]]</f>
        <v>6.9444444444444198E-3</v>
      </c>
      <c r="U3" s="7">
        <f>+Tabla53839[[#This Row],[INICIO ACTIVIDADES PM]]-Tabla53839[[#This Row],[ALMUERZO]]</f>
        <v>2.7777777777777679E-2</v>
      </c>
      <c r="V3" s="7">
        <f>+Tabla53839[[#This Row],[TERMINO ACTIVIDADES PM]]-Tabla53839[[#This Row],[INICIO ACTIVIDADES PM]]</f>
        <v>2.430555555555558E-2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44880</v>
      </c>
      <c r="D4" s="37">
        <v>0.64583333333333337</v>
      </c>
      <c r="E4" s="37">
        <v>0.68055555555555547</v>
      </c>
      <c r="F4" s="37">
        <v>0.69444444444444453</v>
      </c>
      <c r="G4" s="37">
        <v>0.91111111111111109</v>
      </c>
      <c r="H4" s="37">
        <v>0.92013888888888884</v>
      </c>
      <c r="I4" s="37">
        <v>0.95138888888888884</v>
      </c>
      <c r="J4" s="46">
        <v>0.98611111111111116</v>
      </c>
      <c r="K4" s="81" t="s">
        <v>94</v>
      </c>
      <c r="M4" s="5"/>
      <c r="N4" s="5" t="s">
        <v>16</v>
      </c>
      <c r="O4" s="4">
        <f>Tabla53839[[#This Row],[FECHA]]</f>
        <v>44880</v>
      </c>
      <c r="P4" s="7">
        <f>D4</f>
        <v>0.64583333333333337</v>
      </c>
      <c r="Q4" s="7">
        <f t="shared" ref="Q4:S7" si="0">E4-D4</f>
        <v>3.4722222222222099E-2</v>
      </c>
      <c r="R4" s="7">
        <f t="shared" si="0"/>
        <v>1.3888888888889062E-2</v>
      </c>
      <c r="S4" s="7">
        <f t="shared" si="0"/>
        <v>0.21666666666666656</v>
      </c>
      <c r="T4" s="7">
        <f>+Tabla53839[[#This Row],[ALMUERZO]]-Tabla53839[[#This Row],[TERMINO ACT. AM]]</f>
        <v>9.0277777777777457E-3</v>
      </c>
      <c r="U4" s="7">
        <f>+Tabla53839[[#This Row],[INICIO ACTIVIDADES PM]]-Tabla53839[[#This Row],[ALMUERZO]]</f>
        <v>3.125E-2</v>
      </c>
      <c r="V4" s="7">
        <f>+Tabla53839[[#This Row],[TERMINO ACTIVIDADES PM]]-Tabla53839[[#This Row],[INICIO ACTIVIDADES PM]]</f>
        <v>3.4722222222222321E-2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44881</v>
      </c>
      <c r="D5" s="37">
        <v>0.64583333333333337</v>
      </c>
      <c r="E5" s="37">
        <v>0.68958333333333333</v>
      </c>
      <c r="F5" s="37">
        <v>0.69652777777777775</v>
      </c>
      <c r="G5" s="37">
        <v>0.90416666666666667</v>
      </c>
      <c r="H5" s="37">
        <v>0.90972222222222221</v>
      </c>
      <c r="I5" s="37">
        <v>0.94097222222222221</v>
      </c>
      <c r="J5" s="46">
        <v>0.98611111111111105</v>
      </c>
      <c r="K5" s="81" t="s">
        <v>94</v>
      </c>
      <c r="M5" s="5"/>
      <c r="N5" s="5" t="s">
        <v>16</v>
      </c>
      <c r="O5" s="4">
        <f>Tabla53839[[#This Row],[FECHA]]</f>
        <v>44881</v>
      </c>
      <c r="P5" s="7">
        <f>D5</f>
        <v>0.64583333333333337</v>
      </c>
      <c r="Q5" s="7">
        <f t="shared" si="0"/>
        <v>4.3749999999999956E-2</v>
      </c>
      <c r="R5" s="7">
        <f t="shared" si="0"/>
        <v>6.9444444444444198E-3</v>
      </c>
      <c r="S5" s="7">
        <f t="shared" si="0"/>
        <v>0.20763888888888893</v>
      </c>
      <c r="T5" s="7">
        <f>+Tabla53839[[#This Row],[ALMUERZO]]-Tabla53839[[#This Row],[TERMINO ACT. AM]]</f>
        <v>5.5555555555555358E-3</v>
      </c>
      <c r="U5" s="7">
        <f>+Tabla53839[[#This Row],[INICIO ACTIVIDADES PM]]-Tabla53839[[#This Row],[ALMUERZO]]</f>
        <v>3.125E-2</v>
      </c>
      <c r="V5" s="7">
        <f>+Tabla53839[[#This Row],[TERMINO ACTIVIDADES PM]]-Tabla53839[[#This Row],[INICIO ACTIVIDADES PM]]</f>
        <v>4.513888888888884E-2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44882</v>
      </c>
      <c r="D6" s="37">
        <v>0.64583333333333337</v>
      </c>
      <c r="E6" s="37">
        <v>0.6875</v>
      </c>
      <c r="F6" s="37">
        <v>0.70486111111111116</v>
      </c>
      <c r="G6" s="37">
        <v>0.92708333333333337</v>
      </c>
      <c r="H6" s="37">
        <v>0.93402777777777779</v>
      </c>
      <c r="I6" s="37">
        <v>0.95694444444444438</v>
      </c>
      <c r="J6" s="46">
        <v>0.98611111111111105</v>
      </c>
      <c r="K6" s="81" t="s">
        <v>94</v>
      </c>
      <c r="M6" s="5"/>
      <c r="N6" s="5" t="s">
        <v>17</v>
      </c>
      <c r="O6" s="4">
        <f>Tabla53839[[#This Row],[FECHA]]</f>
        <v>44882</v>
      </c>
      <c r="P6" s="7">
        <f>D6</f>
        <v>0.64583333333333337</v>
      </c>
      <c r="Q6" s="7">
        <f t="shared" si="0"/>
        <v>4.166666666666663E-2</v>
      </c>
      <c r="R6" s="7">
        <f t="shared" si="0"/>
        <v>1.736111111111116E-2</v>
      </c>
      <c r="S6" s="7">
        <f t="shared" si="0"/>
        <v>0.22222222222222221</v>
      </c>
      <c r="T6" s="7">
        <f>+Tabla53839[[#This Row],[ALMUERZO]]-Tabla53839[[#This Row],[TERMINO ACT. AM]]</f>
        <v>6.9444444444444198E-3</v>
      </c>
      <c r="U6" s="7">
        <f>+Tabla53839[[#This Row],[INICIO ACTIVIDADES PM]]-Tabla53839[[#This Row],[ALMUERZO]]</f>
        <v>2.2916666666666585E-2</v>
      </c>
      <c r="V6" s="7">
        <f>+Tabla53839[[#This Row],[TERMINO ACTIVIDADES PM]]-Tabla53839[[#This Row],[INICIO ACTIVIDADES PM]]</f>
        <v>2.9166666666666674E-2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44883</v>
      </c>
      <c r="D7" s="37">
        <v>0.64583333333333337</v>
      </c>
      <c r="E7" s="37">
        <v>0.68055555555555547</v>
      </c>
      <c r="F7" s="37">
        <v>0.69305555555555554</v>
      </c>
      <c r="G7" s="37">
        <v>0.91111111111111109</v>
      </c>
      <c r="H7" s="37">
        <v>0.92013888888888884</v>
      </c>
      <c r="I7" s="37">
        <v>0.94791666666666663</v>
      </c>
      <c r="J7" s="46">
        <v>0.98611111111111105</v>
      </c>
      <c r="K7" s="81" t="s">
        <v>94</v>
      </c>
      <c r="M7" s="5"/>
      <c r="N7" s="5" t="s">
        <v>18</v>
      </c>
      <c r="O7" s="4">
        <f>Tabla53839[[#This Row],[FECHA]]</f>
        <v>44883</v>
      </c>
      <c r="P7" s="7">
        <f>D7</f>
        <v>0.64583333333333337</v>
      </c>
      <c r="Q7" s="7">
        <f t="shared" si="0"/>
        <v>3.4722222222222099E-2</v>
      </c>
      <c r="R7" s="7">
        <f t="shared" si="0"/>
        <v>1.2500000000000067E-2</v>
      </c>
      <c r="S7" s="7">
        <f t="shared" si="0"/>
        <v>0.21805555555555556</v>
      </c>
      <c r="T7" s="7">
        <f>+Tabla53839[[#This Row],[ALMUERZO]]-Tabla53839[[#This Row],[TERMINO ACT. AM]]</f>
        <v>9.0277777777777457E-3</v>
      </c>
      <c r="U7" s="7">
        <f>+Tabla53839[[#This Row],[INICIO ACTIVIDADES PM]]-Tabla53839[[#This Row],[ALMUERZO]]</f>
        <v>2.777777777777779E-2</v>
      </c>
      <c r="V7" s="7">
        <f>+Tabla53839[[#This Row],[TERMINO ACTIVIDADES PM]]-Tabla53839[[#This Row],[INICIO ACTIVIDADES PM]]</f>
        <v>3.819444444444442E-2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0.24444444444444458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0.25138888888888888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0.25277777777777777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0.25138888888888888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0.25624999999999998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0.25125000000000003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1.0050000000000001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4" sqref="G4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44879</v>
      </c>
      <c r="D3" s="37">
        <v>0.3125</v>
      </c>
      <c r="E3" s="37">
        <v>0.33333333333333331</v>
      </c>
      <c r="F3" s="37">
        <v>0.35416666666666669</v>
      </c>
      <c r="G3" s="37">
        <v>0.53819444444444442</v>
      </c>
      <c r="H3" s="37">
        <v>0.55555555555555558</v>
      </c>
      <c r="I3" s="37">
        <v>0.57986111111111105</v>
      </c>
      <c r="J3" s="46">
        <v>0.65277777777777779</v>
      </c>
      <c r="K3" s="47"/>
      <c r="L3" s="53"/>
      <c r="M3" s="53"/>
      <c r="N3" s="57" t="s">
        <v>15</v>
      </c>
      <c r="O3" s="4">
        <f>Tabla5383940[[#This Row],[FECHA]]</f>
        <v>44879</v>
      </c>
      <c r="P3" s="7">
        <f>D3</f>
        <v>0.3125</v>
      </c>
      <c r="Q3" s="7">
        <f>E3-D3</f>
        <v>2.0833333333333315E-2</v>
      </c>
      <c r="R3" s="7">
        <f>F3-E3</f>
        <v>2.083333333333337E-2</v>
      </c>
      <c r="S3" s="7">
        <f>G3-F3</f>
        <v>0.18402777777777773</v>
      </c>
      <c r="T3" s="7">
        <f>+Tabla5383940[[#This Row],[ALMUERZO]]-Tabla5383940[[#This Row],[TERMINO ACT. AM]]</f>
        <v>1.736111111111116E-2</v>
      </c>
      <c r="U3" s="7">
        <f>+Tabla5383940[[#This Row],[INICIO ACTIVIDADES PM]]-Tabla5383940[[#This Row],[ALMUERZO]]</f>
        <v>2.4305555555555469E-2</v>
      </c>
      <c r="V3" s="7">
        <f>+Tabla5383940[[#This Row],[TERMINO ACTIVIDADES PM]]-Tabla5383940[[#This Row],[INICIO ACTIVIDADES PM]]</f>
        <v>7.2916666666666741E-2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44880</v>
      </c>
      <c r="D4" s="37">
        <v>0.3125</v>
      </c>
      <c r="E4" s="37">
        <v>0.33333333333333331</v>
      </c>
      <c r="F4" s="37">
        <v>0.34722222222222227</v>
      </c>
      <c r="G4" s="37">
        <v>0.58680555555555558</v>
      </c>
      <c r="H4" s="37">
        <v>0.60069444444444442</v>
      </c>
      <c r="I4" s="37">
        <v>0.625</v>
      </c>
      <c r="J4" s="46">
        <v>0.65277777777777801</v>
      </c>
      <c r="K4" s="47"/>
      <c r="M4" s="5"/>
      <c r="N4" s="5" t="s">
        <v>16</v>
      </c>
      <c r="O4" s="4">
        <f>Tabla5383940[[#This Row],[FECHA]]</f>
        <v>44880</v>
      </c>
      <c r="P4" s="7">
        <f>D4</f>
        <v>0.3125</v>
      </c>
      <c r="Q4" s="7">
        <f t="shared" ref="Q4:S7" si="0">E4-D4</f>
        <v>2.0833333333333315E-2</v>
      </c>
      <c r="R4" s="7">
        <f t="shared" si="0"/>
        <v>1.3888888888888951E-2</v>
      </c>
      <c r="S4" s="7">
        <f t="shared" si="0"/>
        <v>0.23958333333333331</v>
      </c>
      <c r="T4" s="7">
        <f>+Tabla5383940[[#This Row],[ALMUERZO]]-Tabla5383940[[#This Row],[TERMINO ACT. AM]]</f>
        <v>1.388888888888884E-2</v>
      </c>
      <c r="U4" s="7">
        <f>+Tabla5383940[[#This Row],[INICIO ACTIVIDADES PM]]-Tabla5383940[[#This Row],[ALMUERZO]]</f>
        <v>2.430555555555558E-2</v>
      </c>
      <c r="V4" s="7">
        <f>+Tabla5383940[[#This Row],[TERMINO ACTIVIDADES PM]]-Tabla5383940[[#This Row],[INICIO ACTIVIDADES PM]]</f>
        <v>2.7777777777778012E-2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44881</v>
      </c>
      <c r="D5" s="37">
        <v>0.31597222222222221</v>
      </c>
      <c r="E5" s="37">
        <v>0.33680555555555558</v>
      </c>
      <c r="F5" s="37">
        <v>0.35069444444444442</v>
      </c>
      <c r="G5" s="37">
        <v>0.60069444444444442</v>
      </c>
      <c r="H5" s="37">
        <v>0.61458333333333337</v>
      </c>
      <c r="I5" s="37">
        <v>0.63750000000000007</v>
      </c>
      <c r="J5" s="46">
        <v>0.65277777777777801</v>
      </c>
      <c r="K5" s="47"/>
      <c r="M5" s="5"/>
      <c r="N5" s="5" t="s">
        <v>16</v>
      </c>
      <c r="O5" s="4">
        <f>Tabla5383940[[#This Row],[FECHA]]</f>
        <v>44881</v>
      </c>
      <c r="P5" s="7">
        <f>D5</f>
        <v>0.31597222222222221</v>
      </c>
      <c r="Q5" s="7">
        <f t="shared" si="0"/>
        <v>2.083333333333337E-2</v>
      </c>
      <c r="R5" s="7">
        <f t="shared" si="0"/>
        <v>1.388888888888884E-2</v>
      </c>
      <c r="S5" s="7">
        <f t="shared" si="0"/>
        <v>0.25</v>
      </c>
      <c r="T5" s="7">
        <f>+Tabla5383940[[#This Row],[ALMUERZO]]-Tabla5383940[[#This Row],[TERMINO ACT. AM]]</f>
        <v>1.3888888888888951E-2</v>
      </c>
      <c r="U5" s="7">
        <f>+Tabla5383940[[#This Row],[INICIO ACTIVIDADES PM]]-Tabla5383940[[#This Row],[ALMUERZO]]</f>
        <v>2.2916666666666696E-2</v>
      </c>
      <c r="V5" s="7">
        <f>+Tabla5383940[[#This Row],[TERMINO ACTIVIDADES PM]]-Tabla5383940[[#This Row],[INICIO ACTIVIDADES PM]]</f>
        <v>1.5277777777777946E-2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44882</v>
      </c>
      <c r="D6" s="37">
        <v>0.3125</v>
      </c>
      <c r="E6" s="37">
        <v>0.33333333333333331</v>
      </c>
      <c r="F6" s="37">
        <v>0.35416666666666669</v>
      </c>
      <c r="G6" s="37">
        <v>0.57013888888888886</v>
      </c>
      <c r="H6" s="37">
        <v>0.58680555555555558</v>
      </c>
      <c r="I6" s="37">
        <v>0.61458333333333337</v>
      </c>
      <c r="J6" s="46">
        <v>0.65277777777777779</v>
      </c>
      <c r="K6" s="47"/>
      <c r="M6" s="5"/>
      <c r="N6" s="5" t="s">
        <v>17</v>
      </c>
      <c r="O6" s="4">
        <f>Tabla5383940[[#This Row],[FECHA]]</f>
        <v>44882</v>
      </c>
      <c r="P6" s="7">
        <f>D6</f>
        <v>0.3125</v>
      </c>
      <c r="Q6" s="7">
        <f t="shared" si="0"/>
        <v>2.0833333333333315E-2</v>
      </c>
      <c r="R6" s="7">
        <f t="shared" si="0"/>
        <v>2.083333333333337E-2</v>
      </c>
      <c r="S6" s="7">
        <f t="shared" si="0"/>
        <v>0.21597222222222218</v>
      </c>
      <c r="T6" s="7">
        <f>+Tabla5383940[[#This Row],[ALMUERZO]]-Tabla5383940[[#This Row],[TERMINO ACT. AM]]</f>
        <v>1.6666666666666718E-2</v>
      </c>
      <c r="U6" s="7">
        <f>+Tabla5383940[[#This Row],[INICIO ACTIVIDADES PM]]-Tabla5383940[[#This Row],[ALMUERZO]]</f>
        <v>2.777777777777779E-2</v>
      </c>
      <c r="V6" s="7">
        <f>+Tabla5383940[[#This Row],[TERMINO ACTIVIDADES PM]]-Tabla5383940[[#This Row],[INICIO ACTIVIDADES PM]]</f>
        <v>3.819444444444442E-2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44883</v>
      </c>
      <c r="D7" s="37">
        <v>0.3125</v>
      </c>
      <c r="E7" s="37">
        <v>0.33333333333333331</v>
      </c>
      <c r="F7" s="37">
        <v>0.35416666666666669</v>
      </c>
      <c r="G7" s="37">
        <v>0.54166666666666663</v>
      </c>
      <c r="H7" s="37">
        <v>0.55555555555555558</v>
      </c>
      <c r="I7" s="37">
        <v>0.57986111111111105</v>
      </c>
      <c r="J7" s="46">
        <v>0.65277777777777779</v>
      </c>
      <c r="K7" s="47"/>
      <c r="M7" s="5"/>
      <c r="N7" s="5" t="s">
        <v>18</v>
      </c>
      <c r="O7" s="4">
        <f>Tabla5383940[[#This Row],[FECHA]]</f>
        <v>44883</v>
      </c>
      <c r="P7" s="7">
        <f>D7</f>
        <v>0.3125</v>
      </c>
      <c r="Q7" s="7">
        <f t="shared" si="0"/>
        <v>2.0833333333333315E-2</v>
      </c>
      <c r="R7" s="7">
        <f t="shared" si="0"/>
        <v>2.083333333333337E-2</v>
      </c>
      <c r="S7" s="7">
        <f t="shared" si="0"/>
        <v>0.18749999999999994</v>
      </c>
      <c r="T7" s="7">
        <f>+Tabla5383940[[#This Row],[ALMUERZO]]-Tabla5383940[[#This Row],[TERMINO ACT. AM]]</f>
        <v>1.3888888888888951E-2</v>
      </c>
      <c r="U7" s="7">
        <f>+Tabla5383940[[#This Row],[INICIO ACTIVIDADES PM]]-Tabla5383940[[#This Row],[ALMUERZO]]</f>
        <v>2.4305555555555469E-2</v>
      </c>
      <c r="V7" s="7">
        <f>+Tabla5383940[[#This Row],[TERMINO ACTIVIDADES PM]]-Tabla5383940[[#This Row],[INICIO ACTIVIDADES PM]]</f>
        <v>7.2916666666666741E-2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0.25694444444444448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0.26736111111111133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0.26527777777777795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0.2541666666666666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0.26041666666666669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0.26083333333333342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1.0433333333333337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2022-11-22T13:36:01Z</dcterms:modified>
</cp:coreProperties>
</file>