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ontrato info completa\Disciplina operacional\"/>
    </mc:Choice>
  </mc:AlternateContent>
  <bookViews>
    <workbookView xWindow="0" yWindow="0" windowWidth="23040" windowHeight="8616" tabRatio="995" activeTab="13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AC" sheetId="37" r:id="rId10"/>
    <sheet name="Colec" sheetId="38" r:id="rId11"/>
    <sheet name="LA JUNTA" sheetId="39" r:id="rId12"/>
    <sheet name="TTE 7" sheetId="40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47" l="1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D48" i="47"/>
  <c r="D47" i="47"/>
  <c r="O44" i="47"/>
  <c r="O43" i="47"/>
  <c r="L44" i="47"/>
  <c r="L43" i="47"/>
  <c r="I44" i="47"/>
  <c r="I43" i="47"/>
  <c r="F44" i="47"/>
  <c r="F43" i="47"/>
  <c r="C44" i="47"/>
  <c r="C43" i="47"/>
  <c r="P24" i="47"/>
  <c r="P23" i="47"/>
  <c r="M24" i="47"/>
  <c r="M23" i="47"/>
  <c r="J24" i="47"/>
  <c r="J23" i="47"/>
  <c r="G24" i="47"/>
  <c r="G23" i="47"/>
  <c r="D24" i="47"/>
  <c r="D23" i="47"/>
  <c r="O16" i="47"/>
  <c r="O15" i="47"/>
  <c r="L16" i="47"/>
  <c r="L15" i="47"/>
  <c r="I16" i="47"/>
  <c r="I15" i="47"/>
  <c r="F16" i="47"/>
  <c r="F15" i="47"/>
  <c r="C16" i="47"/>
  <c r="C15" i="47"/>
  <c r="P52" i="47" l="1"/>
  <c r="P51" i="47"/>
  <c r="O28" i="47"/>
  <c r="O27" i="47"/>
  <c r="L28" i="47"/>
  <c r="L27" i="47"/>
  <c r="I28" i="47"/>
  <c r="I27" i="47"/>
  <c r="F28" i="47"/>
  <c r="F27" i="47"/>
  <c r="C28" i="47"/>
  <c r="C27" i="47"/>
  <c r="O12" i="47"/>
  <c r="O11" i="47"/>
  <c r="L12" i="47"/>
  <c r="L11" i="47"/>
  <c r="I12" i="47"/>
  <c r="I11" i="47"/>
  <c r="F12" i="47"/>
  <c r="F11" i="47"/>
  <c r="C12" i="47"/>
  <c r="C11" i="47"/>
  <c r="P8" i="47"/>
  <c r="P7" i="47"/>
  <c r="M8" i="47"/>
  <c r="M7" i="47"/>
  <c r="J8" i="47"/>
  <c r="J7" i="47"/>
  <c r="G8" i="47"/>
  <c r="G7" i="47"/>
  <c r="D8" i="47"/>
  <c r="D7" i="47"/>
  <c r="P56" i="47" l="1"/>
  <c r="P55" i="47"/>
  <c r="M56" i="47"/>
  <c r="M55" i="47"/>
  <c r="J56" i="47"/>
  <c r="J55" i="47"/>
  <c r="G56" i="47"/>
  <c r="G55" i="47"/>
  <c r="D56" i="47"/>
  <c r="D55" i="47"/>
  <c r="O32" i="47" l="1"/>
  <c r="O31" i="47"/>
  <c r="L32" i="47"/>
  <c r="L31" i="47"/>
  <c r="I32" i="47"/>
  <c r="I31" i="47"/>
  <c r="F32" i="47"/>
  <c r="F31" i="47"/>
  <c r="C32" i="47"/>
  <c r="C31" i="47"/>
  <c r="C7" i="42" l="1"/>
  <c r="C6" i="42"/>
  <c r="C5" i="42"/>
  <c r="C4" i="42"/>
  <c r="C3" i="42"/>
  <c r="X11" i="47" l="1"/>
  <c r="X12" i="47"/>
  <c r="Y11" i="48" l="1"/>
  <c r="Z11" i="48"/>
  <c r="Z10" i="48"/>
  <c r="U7" i="48" l="1"/>
  <c r="R7" i="48"/>
  <c r="O7" i="48"/>
  <c r="L7" i="48"/>
  <c r="I7" i="48"/>
  <c r="F7" i="48"/>
  <c r="C7" i="48"/>
  <c r="X11" i="48"/>
  <c r="Y10" i="48"/>
  <c r="X10" i="48"/>
  <c r="AA11" i="48" l="1"/>
  <c r="AA10" i="48"/>
  <c r="Y48" i="47"/>
  <c r="Y47" i="47"/>
  <c r="X44" i="47"/>
  <c r="X43" i="47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X28" i="47"/>
  <c r="X27" i="47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60" i="47" l="1"/>
  <c r="X40" i="47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G16" i="37"/>
  <c r="C45" i="47" s="1"/>
  <c r="G17" i="37"/>
  <c r="F45" i="47" s="1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G23" i="45" l="1"/>
  <c r="C9" i="30"/>
  <c r="D9" i="30" s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P9" i="47" s="1"/>
  <c r="G19" i="40"/>
  <c r="M9" i="47" s="1"/>
  <c r="G18" i="40"/>
  <c r="J9" i="47" s="1"/>
  <c r="G17" i="40"/>
  <c r="G9" i="47" s="1"/>
  <c r="G16" i="40"/>
  <c r="D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C41" i="47" s="1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G16" i="38"/>
  <c r="D49" i="47" s="1"/>
  <c r="G17" i="38"/>
  <c r="G49" i="47" s="1"/>
  <c r="G18" i="38"/>
  <c r="J49" i="47" s="1"/>
  <c r="G19" i="38"/>
  <c r="M49" i="47" s="1"/>
  <c r="G20" i="38"/>
  <c r="P49" i="47" s="1"/>
  <c r="G20" i="37"/>
  <c r="O45" i="47" s="1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P53" i="47" s="1"/>
  <c r="G19" i="36"/>
  <c r="L53" i="47" s="1"/>
  <c r="G18" i="36"/>
  <c r="I53" i="47" s="1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17" i="25"/>
  <c r="G25" i="47" s="1"/>
  <c r="G16" i="25"/>
  <c r="D25" i="47" s="1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X61" i="47" l="1"/>
  <c r="X9" i="47"/>
  <c r="Y57" i="47"/>
  <c r="X45" i="47"/>
  <c r="Y33" i="47"/>
  <c r="Y49" i="47"/>
  <c r="X25" i="47"/>
  <c r="Y9" i="47"/>
  <c r="X57" i="47"/>
  <c r="X29" i="47"/>
  <c r="X49" i="47"/>
  <c r="Y45" i="47"/>
  <c r="Y25" i="47"/>
  <c r="Y29" i="47"/>
  <c r="X41" i="47"/>
  <c r="X33" i="47"/>
  <c r="G21" i="25"/>
  <c r="G21" i="27"/>
  <c r="G21" i="34"/>
  <c r="G21" i="35"/>
  <c r="G21" i="37"/>
  <c r="G21" i="42"/>
  <c r="G21" i="38"/>
  <c r="G21" i="40"/>
  <c r="G21" i="39"/>
  <c r="G21" i="36"/>
  <c r="C13" i="30" s="1"/>
  <c r="C8" i="30" l="1"/>
  <c r="D8" i="30" s="1"/>
  <c r="G23" i="40"/>
  <c r="C2" i="30"/>
  <c r="D2" i="30" s="1"/>
  <c r="G23" i="39"/>
  <c r="C10" i="30"/>
  <c r="D10" i="30" s="1"/>
  <c r="G23" i="38"/>
  <c r="C12" i="30"/>
  <c r="D12" i="30" s="1"/>
  <c r="G23" i="37"/>
  <c r="C11" i="30"/>
  <c r="D11" i="30" s="1"/>
  <c r="G23" i="35"/>
  <c r="C14" i="30"/>
  <c r="D14" i="30" s="1"/>
  <c r="G23" i="34"/>
  <c r="C15" i="30"/>
  <c r="D15" i="30" s="1"/>
  <c r="G23" i="25"/>
  <c r="C6" i="30"/>
  <c r="D6" i="30" s="1"/>
  <c r="G23" i="27"/>
  <c r="C7" i="30"/>
  <c r="D7" i="30" s="1"/>
  <c r="X53" i="47"/>
  <c r="Y53" i="47"/>
  <c r="G23" i="36"/>
  <c r="G23" i="42"/>
  <c r="D13" i="30"/>
  <c r="G20" i="26" l="1"/>
  <c r="O13" i="47" s="1"/>
  <c r="G19" i="26"/>
  <c r="L13" i="47" s="1"/>
  <c r="G18" i="26"/>
  <c r="I13" i="47" s="1"/>
  <c r="G17" i="26"/>
  <c r="F13" i="47" s="1"/>
  <c r="G16" i="26"/>
  <c r="C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l="1"/>
  <c r="C3" i="30"/>
  <c r="D3" i="30" s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C4" i="30" s="1"/>
  <c r="G21" i="21"/>
  <c r="C5" i="30" s="1"/>
  <c r="G23" i="29" l="1"/>
  <c r="G23" i="21"/>
  <c r="D4" i="30" l="1"/>
  <c r="C16" i="30"/>
  <c r="D5" i="30"/>
  <c r="D17" i="30" l="1"/>
</calcChain>
</file>

<file path=xl/sharedStrings.xml><?xml version="1.0" encoding="utf-8"?>
<sst xmlns="http://schemas.openxmlformats.org/spreadsheetml/2006/main" count="1117" uniqueCount="130">
  <si>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</si>
  <si>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</si>
  <si>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</si>
  <si>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</si>
  <si>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</si>
  <si>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</si>
  <si>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</si>
  <si>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</si>
  <si>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</si>
  <si>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</si>
  <si>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</si>
  <si>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</si>
  <si>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</si>
  <si>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</si>
  <si>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</si>
  <si>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</si>
  <si>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</si>
  <si>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</si>
  <si>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</si>
  <si>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</si>
  <si>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</si>
  <si>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</si>
  <si>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</si>
  <si>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</si>
  <si>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</si>
  <si>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</si>
  <si>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</si>
  <si>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</si>
  <si>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</si>
  <si>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</si>
  <si>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</si>
  <si>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</si>
  <si>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</si>
  <si>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</si>
  <si>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</si>
  <si>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</si>
  <si>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</si>
  <si>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</si>
  <si>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</si>
  <si>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</si>
  <si>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</si>
  <si>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</si>
  <si>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</si>
  <si>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</si>
  <si>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</si>
  <si>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</si>
  <si>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</si>
  <si>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</si>
  <si>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</si>
  <si>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</si>
  <si>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</si>
  <si>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</si>
  <si>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</si>
  <si>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</si>
  <si>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</si>
  <si>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</si>
  <si>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</si>
  <si>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</si>
  <si>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</si>
  <si>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</si>
  <si>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</si>
  <si>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</si>
  <si>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</si>
  <si>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</si>
  <si>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</si>
  <si>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</si>
  <si>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</si>
  <si>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</si>
  <si>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</si>
  <si>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</si>
  <si>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</si>
  <si>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</si>
  <si>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</si>
  <si>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</si>
  <si>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</si>
  <si>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</si>
  <si>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</si>
  <si>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</si>
  <si>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</si>
  <si>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</si>
  <si>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</si>
  <si>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</si>
  <si>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</si>
  <si>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</si>
  <si>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</si>
  <si>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</si>
  <si>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</si>
  <si>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</si>
  <si>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</si>
  <si>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</si>
  <si>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</si>
  <si>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</si>
  <si>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</si>
  <si>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</si>
  <si>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</si>
  <si>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</si>
  <si>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</si>
  <si>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</si>
  <si>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</si>
  <si>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</si>
  <si>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</si>
  <si>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</si>
  <si>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</si>
  <si>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</si>
  <si>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</si>
  <si>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</si>
  <si>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</si>
  <si>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</si>
  <si>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</si>
  <si>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</si>
  <si>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</si>
  <si>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</si>
  <si>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</si>
  <si>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</si>
  <si>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</si>
  <si>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</si>
  <si>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</si>
  <si>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</si>
  <si>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</si>
  <si>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</si>
  <si>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</si>
  <si>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</si>
  <si>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</si>
  <si>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</si>
  <si>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</si>
  <si>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</si>
  <si>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</si>
  <si>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</si>
  <si>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</si>
  <si>
    <t>Movilizaciones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</si>
</sst>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2" fillId="0" borderId="0" applyFont="0" applyFill="0" applyBorder="0" applyAlignment="0" applyProtection="0"/>
    <xf numFmtId="0" fontId="1" fillId="0" borderId="0"/>
    <xf numFmtId="0" fontId="12" fillId="0" borderId="0"/>
  </cellStyleXfs>
  <cellXfs count="216">
    <xf numFmtId="0" fontId="0" fillId="0" borderId="0" xfId="0"/>
    <xf numFmtId="0" fontId="0" fillId="0" borderId="0" xfId="0" applyBorder="1"/>
    <xf numFmtId="0" fontId="0" fillId="0" borderId="0" xfId="0" applyFont="1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4" xfId="0" applyFont="1" applyFill="1" applyBorder="1" applyAlignment="1">
      <alignment vertical="center" wrapText="1"/>
    </xf>
    <xf numFmtId="20" fontId="0" fillId="0" borderId="0" xfId="0" applyNumberForma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5" borderId="3" xfId="0" applyNumberFormat="1" applyFon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0" fontId="2" fillId="2" borderId="9" xfId="0" applyFont="1" applyFill="1" applyBorder="1" applyAlignment="1">
      <alignment vertical="center"/>
    </xf>
    <xf numFmtId="0" fontId="0" fillId="5" borderId="0" xfId="0" applyFill="1" applyBorder="1"/>
    <xf numFmtId="20" fontId="9" fillId="0" borderId="0" xfId="0" applyNumberFormat="1" applyFont="1" applyBorder="1"/>
    <xf numFmtId="20" fontId="8" fillId="6" borderId="3" xfId="0" applyNumberFormat="1" applyFont="1" applyFill="1" applyBorder="1" applyAlignment="1">
      <alignment horizontal="center"/>
    </xf>
    <xf numFmtId="0" fontId="8" fillId="0" borderId="0" xfId="0" applyFont="1"/>
    <xf numFmtId="20" fontId="8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center" wrapText="1"/>
    </xf>
    <xf numFmtId="20" fontId="10" fillId="5" borderId="1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8" fillId="6" borderId="3" xfId="1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left" wrapText="1"/>
    </xf>
    <xf numFmtId="20" fontId="11" fillId="0" borderId="8" xfId="0" applyNumberFormat="1" applyFont="1" applyBorder="1" applyAlignment="1">
      <alignment horizontal="left"/>
    </xf>
    <xf numFmtId="20" fontId="11" fillId="0" borderId="6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11" fillId="0" borderId="8" xfId="0" applyNumberFormat="1" applyFont="1" applyBorder="1" applyAlignment="1">
      <alignment horizontal="left"/>
    </xf>
    <xf numFmtId="20" fontId="8" fillId="5" borderId="3" xfId="0" applyNumberFormat="1" applyFont="1" applyFill="1" applyBorder="1" applyAlignment="1">
      <alignment horizontal="center"/>
    </xf>
    <xf numFmtId="9" fontId="0" fillId="0" borderId="0" xfId="0" applyNumberFormat="1"/>
    <xf numFmtId="20" fontId="0" fillId="0" borderId="1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3" fillId="4" borderId="14" xfId="0" applyFont="1" applyFill="1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left" wrapText="1" readingOrder="1"/>
    </xf>
    <xf numFmtId="20" fontId="3" fillId="0" borderId="15" xfId="0" applyNumberFormat="1" applyFont="1" applyBorder="1" applyAlignment="1">
      <alignment horizontal="center" wrapText="1" readingOrder="1"/>
    </xf>
    <xf numFmtId="20" fontId="5" fillId="0" borderId="15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wrapText="1" readingOrder="1"/>
    </xf>
    <xf numFmtId="20" fontId="3" fillId="0" borderId="16" xfId="0" applyNumberFormat="1" applyFont="1" applyBorder="1" applyAlignment="1">
      <alignment horizontal="center" wrapText="1" readingOrder="1"/>
    </xf>
    <xf numFmtId="20" fontId="5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wrapText="1" readingOrder="1"/>
    </xf>
    <xf numFmtId="20" fontId="3" fillId="0" borderId="17" xfId="0" applyNumberFormat="1" applyFont="1" applyBorder="1" applyAlignment="1">
      <alignment horizontal="center" wrapText="1" readingOrder="1"/>
    </xf>
    <xf numFmtId="20" fontId="5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18" xfId="0" applyFill="1" applyBorder="1"/>
    <xf numFmtId="0" fontId="0" fillId="0" borderId="20" xfId="0" applyBorder="1"/>
    <xf numFmtId="20" fontId="0" fillId="0" borderId="23" xfId="0" applyNumberFormat="1" applyBorder="1"/>
    <xf numFmtId="19" fontId="14" fillId="0" borderId="0" xfId="0" applyNumberFormat="1" applyFont="1" applyAlignment="1"/>
    <xf numFmtId="0" fontId="0" fillId="0" borderId="0" xfId="0" applyFont="1" applyAlignment="1"/>
    <xf numFmtId="22" fontId="0" fillId="0" borderId="0" xfId="0" applyNumberFormat="1"/>
    <xf numFmtId="0" fontId="0" fillId="0" borderId="0" xfId="0" applyAlignment="1">
      <alignment wrapText="1"/>
    </xf>
    <xf numFmtId="20" fontId="11" fillId="0" borderId="1" xfId="0" applyNumberFormat="1" applyFont="1" applyBorder="1" applyAlignment="1">
      <alignment horizontal="left"/>
    </xf>
    <xf numFmtId="0" fontId="15" fillId="0" borderId="0" xfId="0" applyFont="1" applyAlignment="1">
      <alignment horizontal="left" vertical="center" indent="4" readingOrder="1"/>
    </xf>
    <xf numFmtId="0" fontId="16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24" xfId="0" applyFont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left" vertical="center"/>
    </xf>
    <xf numFmtId="0" fontId="21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1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1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1" fillId="0" borderId="25" xfId="2" applyBorder="1" applyAlignment="1">
      <alignment horizontal="center" vertical="center"/>
    </xf>
    <xf numFmtId="0" fontId="1" fillId="0" borderId="69" xfId="2" applyBorder="1" applyAlignment="1">
      <alignment horizontal="center" vertical="center"/>
    </xf>
    <xf numFmtId="0" fontId="1" fillId="0" borderId="0" xfId="2"/>
    <xf numFmtId="0" fontId="22" fillId="7" borderId="11" xfId="2" applyFont="1" applyFill="1" applyBorder="1" applyAlignment="1">
      <alignment vertical="center"/>
    </xf>
    <xf numFmtId="0" fontId="18" fillId="0" borderId="3" xfId="2" applyFont="1" applyBorder="1" applyAlignment="1">
      <alignment horizontal="center" vertical="center"/>
    </xf>
    <xf numFmtId="0" fontId="23" fillId="0" borderId="64" xfId="2" applyFont="1" applyBorder="1" applyAlignment="1">
      <alignment horizontal="left" vertical="center" wrapText="1"/>
    </xf>
    <xf numFmtId="0" fontId="23" fillId="0" borderId="68" xfId="2" applyFont="1" applyBorder="1" applyAlignment="1">
      <alignment horizontal="left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7" xfId="2" applyFont="1" applyBorder="1" applyAlignment="1">
      <alignment horizontal="center" vertical="center"/>
    </xf>
    <xf numFmtId="0" fontId="1" fillId="0" borderId="49" xfId="2" applyBorder="1" applyAlignment="1">
      <alignment vertical="center"/>
    </xf>
    <xf numFmtId="0" fontId="1" fillId="0" borderId="50" xfId="2" applyBorder="1" applyAlignment="1">
      <alignment vertical="center"/>
    </xf>
    <xf numFmtId="0" fontId="1" fillId="0" borderId="51" xfId="2" applyBorder="1" applyAlignment="1">
      <alignment vertical="center"/>
    </xf>
    <xf numFmtId="0" fontId="1" fillId="0" borderId="65" xfId="2" applyBorder="1" applyAlignment="1">
      <alignment vertical="center"/>
    </xf>
    <xf numFmtId="0" fontId="1" fillId="0" borderId="66" xfId="2" applyBorder="1" applyAlignment="1">
      <alignment vertical="center"/>
    </xf>
    <xf numFmtId="0" fontId="1" fillId="0" borderId="67" xfId="2" applyBorder="1" applyAlignment="1">
      <alignment vertical="center"/>
    </xf>
    <xf numFmtId="0" fontId="18" fillId="0" borderId="28" xfId="2" applyFont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3" xfId="2" applyFont="1" applyFill="1" applyBorder="1" applyAlignment="1">
      <alignment horizontal="center"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14" fontId="18" fillId="0" borderId="3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4" fontId="18" fillId="0" borderId="25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14" fontId="18" fillId="5" borderId="3" xfId="0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14" fontId="18" fillId="5" borderId="25" xfId="0" applyNumberFormat="1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12" fillId="7" borderId="36" xfId="0" applyFont="1" applyFill="1" applyBorder="1" applyAlignment="1">
      <alignment horizontal="center" vertical="center"/>
    </xf>
    <xf numFmtId="0" fontId="12" fillId="7" borderId="37" xfId="0" applyFont="1" applyFill="1" applyBorder="1" applyAlignment="1">
      <alignment horizontal="center" vertical="center"/>
    </xf>
    <xf numFmtId="0" fontId="1" fillId="7" borderId="11" xfId="2" applyFill="1" applyBorder="1" applyAlignment="1">
      <alignment horizontal="center" vertical="center"/>
    </xf>
    <xf numFmtId="0" fontId="1" fillId="7" borderId="12" xfId="2" applyFill="1" applyBorder="1" applyAlignment="1">
      <alignment horizontal="center" vertical="center"/>
    </xf>
    <xf numFmtId="0" fontId="1" fillId="7" borderId="13" xfId="2" applyFill="1" applyBorder="1" applyAlignment="1">
      <alignment horizontal="center" vertical="center"/>
    </xf>
    <xf numFmtId="0" fontId="18" fillId="0" borderId="24" xfId="2" applyFont="1" applyBorder="1" applyAlignment="1">
      <alignment horizontal="center" vertical="center"/>
    </xf>
    <xf numFmtId="0" fontId="18" fillId="0" borderId="32" xfId="2" applyFont="1" applyBorder="1" applyAlignment="1">
      <alignment horizontal="center" vertical="center"/>
    </xf>
    <xf numFmtId="14" fontId="18" fillId="0" borderId="3" xfId="2" applyNumberFormat="1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8" xfId="2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</cellXfs>
  <cellStyles count="4">
    <cellStyle name="Normal" xfId="0" builtinId="0"/>
    <cellStyle name="Normal 2" xfId="3"/>
    <cellStyle name="Normal 3" xfId="2"/>
    <cellStyle name="Porcentaje" xfId="1" builtinId="5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0.4236111111111111</c:v>
                </c:pt>
                <c:pt idx="2">
                  <c:v>0.34027777777777773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3.0555555555555503E-2</c:v>
                </c:pt>
                <c:pt idx="1">
                  <c:v>1.041666666666663E-2</c:v>
                </c:pt>
                <c:pt idx="2">
                  <c:v>2.083333333333337E-2</c:v>
                </c:pt>
                <c:pt idx="3">
                  <c:v>2.7777777777777735E-2</c:v>
                </c:pt>
                <c:pt idx="4">
                  <c:v>2.8472222222222232E-2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1.3888888888888951E-2</c:v>
                </c:pt>
                <c:pt idx="1">
                  <c:v>1.3194444444444453E-2</c:v>
                </c:pt>
                <c:pt idx="2">
                  <c:v>2.2916666666666696E-2</c:v>
                </c:pt>
                <c:pt idx="3">
                  <c:v>1.7361111111111105E-2</c:v>
                </c:pt>
                <c:pt idx="4">
                  <c:v>1.4583333333333337E-2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0.2312499999999999</c:v>
                </c:pt>
                <c:pt idx="1">
                  <c:v>0.16249999999999998</c:v>
                </c:pt>
                <c:pt idx="2">
                  <c:v>0.23333333333333334</c:v>
                </c:pt>
                <c:pt idx="3">
                  <c:v>0.23125000000000007</c:v>
                </c:pt>
                <c:pt idx="4">
                  <c:v>0.23541666666666666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5.5555555555556468E-3</c:v>
                </c:pt>
                <c:pt idx="1">
                  <c:v>8.3333333333334147E-3</c:v>
                </c:pt>
                <c:pt idx="2">
                  <c:v>4.1666666666666519E-3</c:v>
                </c:pt>
                <c:pt idx="3">
                  <c:v>4.8611111111110938E-3</c:v>
                </c:pt>
                <c:pt idx="4">
                  <c:v>6.2499999999999778E-3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2.777777777777779E-2</c:v>
                </c:pt>
                <c:pt idx="2">
                  <c:v>2.777777777777779E-2</c:v>
                </c:pt>
                <c:pt idx="3">
                  <c:v>3.125E-2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1.7361111111110938E-2</c:v>
                </c:pt>
                <c:pt idx="1">
                  <c:v>1.3888888888888618E-2</c:v>
                </c:pt>
                <c:pt idx="2">
                  <c:v>1.0416666666666408E-2</c:v>
                </c:pt>
                <c:pt idx="3">
                  <c:v>1.0416666666666408E-2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0.3125</c:v>
                </c:pt>
                <c:pt idx="1">
                  <c:v>0.3888888888888889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8.3333333333333037E-3</c:v>
                </c:pt>
                <c:pt idx="2">
                  <c:v>2.7777777777777735E-2</c:v>
                </c:pt>
                <c:pt idx="3">
                  <c:v>2.0833333333333315E-2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2.9861111111111116E-2</c:v>
                </c:pt>
                <c:pt idx="1">
                  <c:v>1.0416666666666685E-2</c:v>
                </c:pt>
                <c:pt idx="2">
                  <c:v>2.916666666666673E-2</c:v>
                </c:pt>
                <c:pt idx="3">
                  <c:v>2.430555555555558E-2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0.1784722222222222</c:v>
                </c:pt>
                <c:pt idx="1">
                  <c:v>0.19652777777777775</c:v>
                </c:pt>
                <c:pt idx="2">
                  <c:v>0.17222222222222217</c:v>
                </c:pt>
                <c:pt idx="3">
                  <c:v>0.1423611111111111</c:v>
                </c:pt>
                <c:pt idx="4">
                  <c:v>0.19444444444444436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3.4722222222222099E-3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2.083333333333337E-2</c:v>
                </c:pt>
                <c:pt idx="3">
                  <c:v>2.5694444444444464E-2</c:v>
                </c:pt>
                <c:pt idx="4">
                  <c:v>2.1527777777777812E-2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8.680555555555558E-2</c:v>
                </c:pt>
                <c:pt idx="1">
                  <c:v>2.083333333333337E-2</c:v>
                </c:pt>
                <c:pt idx="2">
                  <c:v>8.680555555555558E-2</c:v>
                </c:pt>
                <c:pt idx="3">
                  <c:v>0.12708333333333333</c:v>
                </c:pt>
                <c:pt idx="4">
                  <c:v>8.2638888888888817E-2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1.041666666666663E-2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2.5694444444444464E-2</c:v>
                </c:pt>
                <c:pt idx="1">
                  <c:v>3.3333333333333326E-2</c:v>
                </c:pt>
                <c:pt idx="2">
                  <c:v>2.3611111111111027E-2</c:v>
                </c:pt>
                <c:pt idx="3">
                  <c:v>2.083333333333337E-2</c:v>
                </c:pt>
                <c:pt idx="4">
                  <c:v>1.7361111111111049E-2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0.14097222222222217</c:v>
                </c:pt>
                <c:pt idx="1">
                  <c:v>0.11597222222222214</c:v>
                </c:pt>
                <c:pt idx="2">
                  <c:v>0.1131944444444446</c:v>
                </c:pt>
                <c:pt idx="3">
                  <c:v>0.12361111111111101</c:v>
                </c:pt>
                <c:pt idx="4">
                  <c:v>0.14930555555555558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1.8750000000000155E-2</c:v>
                </c:pt>
                <c:pt idx="1">
                  <c:v>6.9444444444445308E-3</c:v>
                </c:pt>
                <c:pt idx="2">
                  <c:v>9.0277777777776347E-3</c:v>
                </c:pt>
                <c:pt idx="3">
                  <c:v>8.3333333333335258E-3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2.9861111111111005E-2</c:v>
                </c:pt>
                <c:pt idx="1">
                  <c:v>3.125E-2</c:v>
                </c:pt>
                <c:pt idx="2">
                  <c:v>3.125E-2</c:v>
                </c:pt>
                <c:pt idx="3">
                  <c:v>2.7777777777777679E-2</c:v>
                </c:pt>
                <c:pt idx="4">
                  <c:v>2.7777777777777679E-2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9.722222222222221E-2</c:v>
                </c:pt>
                <c:pt idx="1">
                  <c:v>0.13541666666666663</c:v>
                </c:pt>
                <c:pt idx="2">
                  <c:v>0.14930555555555569</c:v>
                </c:pt>
                <c:pt idx="3">
                  <c:v>0.14236111111111116</c:v>
                </c:pt>
                <c:pt idx="4">
                  <c:v>0.10763888888888895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0.3263888888888889</c:v>
                </c:pt>
                <c:pt idx="1">
                  <c:v>0.39444444444444443</c:v>
                </c:pt>
                <c:pt idx="2">
                  <c:v>0.32291666666666669</c:v>
                </c:pt>
                <c:pt idx="3">
                  <c:v>0.3298611111111111</c:v>
                </c:pt>
                <c:pt idx="4">
                  <c:v>0.31597222222222221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6.2500000000000333E-3</c:v>
                </c:pt>
                <c:pt idx="2">
                  <c:v>1.7361111111111049E-2</c:v>
                </c:pt>
                <c:pt idx="3">
                  <c:v>1.3888888888888895E-2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9.0277777777778012E-3</c:v>
                </c:pt>
                <c:pt idx="1">
                  <c:v>1.2499999999999956E-2</c:v>
                </c:pt>
                <c:pt idx="2">
                  <c:v>5.5555555555556468E-3</c:v>
                </c:pt>
                <c:pt idx="3">
                  <c:v>6.9444444444444198E-3</c:v>
                </c:pt>
                <c:pt idx="4">
                  <c:v>3.4722222222222654E-3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0.17847222222222225</c:v>
                </c:pt>
                <c:pt idx="1">
                  <c:v>0.17708333333333337</c:v>
                </c:pt>
                <c:pt idx="2">
                  <c:v>0.19930555555555557</c:v>
                </c:pt>
                <c:pt idx="3">
                  <c:v>0.18055555555555558</c:v>
                </c:pt>
                <c:pt idx="4">
                  <c:v>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3.4722222222222099E-3</c:v>
                </c:pt>
                <c:pt idx="1">
                  <c:v>3.4722222222222099E-3</c:v>
                </c:pt>
                <c:pt idx="2">
                  <c:v>3.4722222222220989E-3</c:v>
                </c:pt>
                <c:pt idx="3">
                  <c:v>6.9444444444444198E-3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2.777777777777779E-2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2.2222222222222254E-2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0.10763888888888884</c:v>
                </c:pt>
                <c:pt idx="1">
                  <c:v>4.166666666666663E-2</c:v>
                </c:pt>
                <c:pt idx="2">
                  <c:v>8.6805555555555358E-2</c:v>
                </c:pt>
                <c:pt idx="3">
                  <c:v>9.7222222222221988E-2</c:v>
                </c:pt>
                <c:pt idx="4">
                  <c:v>0.13055555555555554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0.41319444444444442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1.3888888888888951E-2</c:v>
                </c:pt>
                <c:pt idx="1">
                  <c:v>1.0416666666666685E-2</c:v>
                </c:pt>
                <c:pt idx="2">
                  <c:v>1.0416666666666685E-2</c:v>
                </c:pt>
                <c:pt idx="3">
                  <c:v>1.3888888888888951E-2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1.8749999999999933E-2</c:v>
                </c:pt>
                <c:pt idx="1">
                  <c:v>8.3333333333333592E-3</c:v>
                </c:pt>
                <c:pt idx="2">
                  <c:v>2.4999999999999967E-2</c:v>
                </c:pt>
                <c:pt idx="3">
                  <c:v>2.2222222222222199E-2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0.24027777777777787</c:v>
                </c:pt>
                <c:pt idx="1">
                  <c:v>0.17222222222222217</c:v>
                </c:pt>
                <c:pt idx="2">
                  <c:v>0.2458333333333334</c:v>
                </c:pt>
                <c:pt idx="3">
                  <c:v>0.23819444444444449</c:v>
                </c:pt>
                <c:pt idx="4">
                  <c:v>0.23958333333333337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8.3333333333333037E-3</c:v>
                </c:pt>
                <c:pt idx="1">
                  <c:v>8.3333333333333037E-3</c:v>
                </c:pt>
                <c:pt idx="2">
                  <c:v>1.041666666666663E-2</c:v>
                </c:pt>
                <c:pt idx="3">
                  <c:v>6.9444444444444198E-3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2.2916666666666696E-2</c:v>
                </c:pt>
                <c:pt idx="2">
                  <c:v>2.430555555555558E-2</c:v>
                </c:pt>
                <c:pt idx="3">
                  <c:v>2.0833333333333259E-2</c:v>
                </c:pt>
                <c:pt idx="4">
                  <c:v>2.9166666666666563E-2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2.430555555555558E-2</c:v>
                </c:pt>
                <c:pt idx="2">
                  <c:v>1.041666666666663E-2</c:v>
                </c:pt>
                <c:pt idx="3">
                  <c:v>2.4305555555555358E-2</c:v>
                </c:pt>
                <c:pt idx="4">
                  <c:v>1.5972222222222054E-2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0.3923611111111111</c:v>
                </c:pt>
                <c:pt idx="2">
                  <c:v>0.31597222222222221</c:v>
                </c:pt>
                <c:pt idx="3">
                  <c:v>0.31111111111111112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9.0277777777777457E-3</c:v>
                </c:pt>
                <c:pt idx="2">
                  <c:v>1.0416666666666685E-2</c:v>
                </c:pt>
                <c:pt idx="3">
                  <c:v>7.6388888888889173E-3</c:v>
                </c:pt>
                <c:pt idx="4">
                  <c:v>1.5277777777777779E-2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3.1944444444444442E-2</c:v>
                </c:pt>
                <c:pt idx="1">
                  <c:v>8.3333333333334147E-3</c:v>
                </c:pt>
                <c:pt idx="2">
                  <c:v>1.7361111111111105E-2</c:v>
                </c:pt>
                <c:pt idx="3">
                  <c:v>3.125E-2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0.16249999999999992</c:v>
                </c:pt>
                <c:pt idx="1">
                  <c:v>0.19791666666666669</c:v>
                </c:pt>
                <c:pt idx="2">
                  <c:v>0.17013888888888895</c:v>
                </c:pt>
                <c:pt idx="3">
                  <c:v>0.15694444444444439</c:v>
                </c:pt>
                <c:pt idx="4">
                  <c:v>0.15138888888888885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9.0277777777778567E-3</c:v>
                </c:pt>
                <c:pt idx="1">
                  <c:v>6.9444444444444198E-3</c:v>
                </c:pt>
                <c:pt idx="2">
                  <c:v>8.3333333333333037E-3</c:v>
                </c:pt>
                <c:pt idx="3">
                  <c:v>6.9444444444445308E-3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2.9166666666666674E-2</c:v>
                </c:pt>
                <c:pt idx="1">
                  <c:v>2.2222222222222143E-2</c:v>
                </c:pt>
                <c:pt idx="2">
                  <c:v>3.125E-2</c:v>
                </c:pt>
                <c:pt idx="3">
                  <c:v>3.125E-2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0.10069444444444442</c:v>
                </c:pt>
                <c:pt idx="1">
                  <c:v>1.5972222222222276E-2</c:v>
                </c:pt>
                <c:pt idx="2">
                  <c:v>9.9305555555555536E-2</c:v>
                </c:pt>
                <c:pt idx="3">
                  <c:v>0.10416666666666663</c:v>
                </c:pt>
                <c:pt idx="4">
                  <c:v>0.11111111111111116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0.34375</c:v>
                </c:pt>
                <c:pt idx="1">
                  <c:v>0.41319444444444442</c:v>
                </c:pt>
                <c:pt idx="2">
                  <c:v>0.34166666666666662</c:v>
                </c:pt>
                <c:pt idx="3">
                  <c:v>0.34375</c:v>
                </c:pt>
                <c:pt idx="4">
                  <c:v>0.35069444444444442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1.7361111111111105E-2</c:v>
                </c:pt>
                <c:pt idx="1">
                  <c:v>1.1805555555555569E-2</c:v>
                </c:pt>
                <c:pt idx="2">
                  <c:v>2.2916666666666696E-2</c:v>
                </c:pt>
                <c:pt idx="3">
                  <c:v>1.7361111111111105E-2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1.9444444444444431E-2</c:v>
                </c:pt>
                <c:pt idx="1">
                  <c:v>9.0277777777777457E-3</c:v>
                </c:pt>
                <c:pt idx="2">
                  <c:v>2.0138888888888873E-2</c:v>
                </c:pt>
                <c:pt idx="3">
                  <c:v>2.5000000000000022E-2</c:v>
                </c:pt>
                <c:pt idx="4">
                  <c:v>1.5277777777777724E-2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0.22708333333333341</c:v>
                </c:pt>
                <c:pt idx="1">
                  <c:v>0.16666666666666669</c:v>
                </c:pt>
                <c:pt idx="2">
                  <c:v>0.22638888888888886</c:v>
                </c:pt>
                <c:pt idx="3">
                  <c:v>0.22499999999999992</c:v>
                </c:pt>
                <c:pt idx="4">
                  <c:v>0.22083333333333333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3.4722222222222099E-3</c:v>
                </c:pt>
                <c:pt idx="2">
                  <c:v>6.9444444444445308E-3</c:v>
                </c:pt>
                <c:pt idx="3">
                  <c:v>6.9444444444445308E-3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2.4305555555555469E-2</c:v>
                </c:pt>
                <c:pt idx="3">
                  <c:v>2.777777777777779E-2</c:v>
                </c:pt>
                <c:pt idx="4">
                  <c:v>2.2222222222222254E-2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3.125E-2</c:v>
                </c:pt>
                <c:pt idx="2">
                  <c:v>1.736111111111116E-2</c:v>
                </c:pt>
                <c:pt idx="3">
                  <c:v>1.388888888888884E-2</c:v>
                </c:pt>
                <c:pt idx="4">
                  <c:v>2.6388888888888906E-2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0.67708333333333337</c:v>
                </c:pt>
                <c:pt idx="4">
                  <c:v>0.67708333333333337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1.9444444444444375E-2</c:v>
                </c:pt>
                <c:pt idx="1">
                  <c:v>2.4305555555555469E-2</c:v>
                </c:pt>
                <c:pt idx="2">
                  <c:v>2.4305555555555469E-2</c:v>
                </c:pt>
                <c:pt idx="3">
                  <c:v>1.9444444444444375E-2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2.0138888888888928E-2</c:v>
                </c:pt>
                <c:pt idx="1">
                  <c:v>2.7777777777777901E-2</c:v>
                </c:pt>
                <c:pt idx="2">
                  <c:v>2.2916666666666696E-2</c:v>
                </c:pt>
                <c:pt idx="3">
                  <c:v>1.5277777777777724E-2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0.23541666666666661</c:v>
                </c:pt>
                <c:pt idx="1">
                  <c:v>0.21944444444444433</c:v>
                </c:pt>
                <c:pt idx="2">
                  <c:v>0.22569444444444442</c:v>
                </c:pt>
                <c:pt idx="3">
                  <c:v>0.23125000000000007</c:v>
                </c:pt>
                <c:pt idx="4">
                  <c:v>0.22569444444444453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6.2500000000000888E-3</c:v>
                </c:pt>
                <c:pt idx="1">
                  <c:v>9.7222222222222987E-3</c:v>
                </c:pt>
                <c:pt idx="2">
                  <c:v>8.3333333333334147E-3</c:v>
                </c:pt>
                <c:pt idx="3">
                  <c:v>8.3333333333333037E-3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2.083333333333337E-2</c:v>
                </c:pt>
                <c:pt idx="2">
                  <c:v>2.083333333333337E-2</c:v>
                </c:pt>
                <c:pt idx="3">
                  <c:v>2.083333333333337E-2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1.7361111111110938E-2</c:v>
                </c:pt>
                <c:pt idx="1">
                  <c:v>1.7361111111110938E-2</c:v>
                </c:pt>
                <c:pt idx="2">
                  <c:v>1.7361111111110938E-2</c:v>
                </c:pt>
                <c:pt idx="3">
                  <c:v>2.0833333333333259E-2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0.4201388888888889</c:v>
                </c:pt>
                <c:pt idx="2">
                  <c:v>0.33680555555555558</c:v>
                </c:pt>
                <c:pt idx="3">
                  <c:v>0.34375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3.4722222222222265E-2</c:v>
                </c:pt>
                <c:pt idx="1">
                  <c:v>4.8611111111110938E-3</c:v>
                </c:pt>
                <c:pt idx="2">
                  <c:v>3.4722222222222154E-2</c:v>
                </c:pt>
                <c:pt idx="3">
                  <c:v>2.430555555555558E-2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9.0277777777778012E-3</c:v>
                </c:pt>
                <c:pt idx="1">
                  <c:v>8.3333333333333592E-3</c:v>
                </c:pt>
                <c:pt idx="2">
                  <c:v>1.3888888888888951E-2</c:v>
                </c:pt>
                <c:pt idx="3">
                  <c:v>1.0416666666666685E-2</c:v>
                </c:pt>
                <c:pt idx="4">
                  <c:v>1.2500000000000067E-2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0.22638888888888892</c:v>
                </c:pt>
                <c:pt idx="1">
                  <c:v>0.17499999999999993</c:v>
                </c:pt>
                <c:pt idx="2">
                  <c:v>0.22222222222222227</c:v>
                </c:pt>
                <c:pt idx="3">
                  <c:v>0.22638888888888892</c:v>
                </c:pt>
                <c:pt idx="4">
                  <c:v>0.2312499999999999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4.1666666666666519E-3</c:v>
                </c:pt>
                <c:pt idx="1">
                  <c:v>6.2500000000000888E-3</c:v>
                </c:pt>
                <c:pt idx="2">
                  <c:v>6.9444444444444198E-3</c:v>
                </c:pt>
                <c:pt idx="3">
                  <c:v>6.2499999999998668E-3</c:v>
                </c:pt>
                <c:pt idx="4">
                  <c:v>6.2500000000000888E-3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2.5694444444444464E-2</c:v>
                </c:pt>
                <c:pt idx="2">
                  <c:v>2.430555555555558E-2</c:v>
                </c:pt>
                <c:pt idx="3">
                  <c:v>2.083333333333337E-2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1.9444444444444375E-2</c:v>
                </c:pt>
                <c:pt idx="2">
                  <c:v>2.0833333333333259E-2</c:v>
                </c:pt>
                <c:pt idx="3">
                  <c:v>2.777777777777779E-2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0.67361111111111116</c:v>
                </c:pt>
                <c:pt idx="4">
                  <c:v>0.67361111111111116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2.083333333333337E-2</c:v>
                </c:pt>
                <c:pt idx="2">
                  <c:v>1.7361111111111049E-2</c:v>
                </c:pt>
                <c:pt idx="3">
                  <c:v>2.2222222222222143E-2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2.1527777777777701E-2</c:v>
                </c:pt>
                <c:pt idx="1">
                  <c:v>1.8749999999999933E-2</c:v>
                </c:pt>
                <c:pt idx="2">
                  <c:v>2.5694444444444464E-2</c:v>
                </c:pt>
                <c:pt idx="3">
                  <c:v>1.5972222222222165E-2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0.21458333333333324</c:v>
                </c:pt>
                <c:pt idx="1">
                  <c:v>0.23125000000000007</c:v>
                </c:pt>
                <c:pt idx="2">
                  <c:v>0.23541666666666672</c:v>
                </c:pt>
                <c:pt idx="3">
                  <c:v>0.21180555555555569</c:v>
                </c:pt>
                <c:pt idx="4">
                  <c:v>0.22569444444444453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1.041666666666663E-2</c:v>
                </c:pt>
                <c:pt idx="2">
                  <c:v>5.5555555555555358E-3</c:v>
                </c:pt>
                <c:pt idx="3">
                  <c:v>1.041666666666663E-2</c:v>
                </c:pt>
                <c:pt idx="4">
                  <c:v>6.9444444444443088E-3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2.4305555555555469E-2</c:v>
                </c:pt>
                <c:pt idx="2">
                  <c:v>2.1527777777777701E-2</c:v>
                </c:pt>
                <c:pt idx="3">
                  <c:v>2.430555555555558E-2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2.7777777777777901E-2</c:v>
                </c:pt>
                <c:pt idx="1">
                  <c:v>1.388888888888884E-2</c:v>
                </c:pt>
                <c:pt idx="2">
                  <c:v>1.388888888888884E-2</c:v>
                </c:pt>
                <c:pt idx="3">
                  <c:v>3.4722222222222099E-2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0.40625</c:v>
                </c:pt>
                <c:pt idx="2">
                  <c:v>0.33680555555555558</c:v>
                </c:pt>
                <c:pt idx="3">
                  <c:v>0.33680555555555558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3.4722222222222654E-3</c:v>
                </c:pt>
                <c:pt idx="2">
                  <c:v>1.0416666666666685E-2</c:v>
                </c:pt>
                <c:pt idx="3">
                  <c:v>1.0416666666666685E-2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3.4722222222222654E-3</c:v>
                </c:pt>
                <c:pt idx="1">
                  <c:v>3.4722222222221544E-3</c:v>
                </c:pt>
                <c:pt idx="2">
                  <c:v>6.9444444444438647E-4</c:v>
                </c:pt>
                <c:pt idx="3">
                  <c:v>2.0833333333332704E-3</c:v>
                </c:pt>
                <c:pt idx="4">
                  <c:v>3.4722222222222654E-3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0.19097222222222215</c:v>
                </c:pt>
                <c:pt idx="1">
                  <c:v>0.11458333333333337</c:v>
                </c:pt>
                <c:pt idx="2">
                  <c:v>0.19374999999999998</c:v>
                </c:pt>
                <c:pt idx="3">
                  <c:v>0.17847222222222225</c:v>
                </c:pt>
                <c:pt idx="4">
                  <c:v>0.18402777777777773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3.4722222222222099E-3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1.041666666666663E-2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3.472222222222221E-2</c:v>
                </c:pt>
                <c:pt idx="4">
                  <c:v>3.4722222222222321E-2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0.26041666666666674</c:v>
                </c:pt>
                <c:pt idx="1">
                  <c:v>0.26736111111111116</c:v>
                </c:pt>
                <c:pt idx="2">
                  <c:v>0.25347222222222199</c:v>
                </c:pt>
                <c:pt idx="3">
                  <c:v>0.26041666666666641</c:v>
                </c:pt>
                <c:pt idx="4">
                  <c:v>0.25694444444444409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0.4236111111111111</c:v>
                </c:pt>
                <c:pt idx="2">
                  <c:v>0.34027777777777773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Salvataje!$Q$3:$Q$7</c15:sqref>
                  </c15:fullRef>
                </c:ext>
              </c:extLst>
              <c:f>Salvataje!$Q$3:$Q$7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8.3333333333333037E-3</c:v>
                </c:pt>
                <c:pt idx="2">
                  <c:v>2.0833333333333315E-2</c:v>
                </c:pt>
                <c:pt idx="3">
                  <c:v>2.083333333333337E-2</c:v>
                </c:pt>
                <c:pt idx="4">
                  <c:v>2.7777777777777846E-2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Salvataje!$R$3:$R$7</c15:sqref>
                  </c15:fullRef>
                </c:ext>
              </c:extLst>
              <c:f>Salvataje!$R$3:$R$7</c:f>
              <c:numCache>
                <c:formatCode>h:mm</c:formatCode>
                <c:ptCount val="5"/>
                <c:pt idx="0">
                  <c:v>1.8750000000000044E-2</c:v>
                </c:pt>
                <c:pt idx="1">
                  <c:v>4.1666666666666519E-3</c:v>
                </c:pt>
                <c:pt idx="2">
                  <c:v>1.7361111111111105E-2</c:v>
                </c:pt>
                <c:pt idx="3">
                  <c:v>1.5972222222222276E-2</c:v>
                </c:pt>
                <c:pt idx="4">
                  <c:v>1.3194444444444453E-2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0.22430555555555548</c:v>
                </c:pt>
                <c:pt idx="1">
                  <c:v>0.1784722222222222</c:v>
                </c:pt>
                <c:pt idx="2">
                  <c:v>0.23125000000000007</c:v>
                </c:pt>
                <c:pt idx="3">
                  <c:v>0.23402777777777767</c:v>
                </c:pt>
                <c:pt idx="4">
                  <c:v>0.2312499999999999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Salvataje!$T$3:$T$7</c15:sqref>
                  </c15:fullRef>
                </c:ext>
              </c:extLst>
              <c:f>Salvataje!$T$3:$T$7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6.9444444444445308E-3</c:v>
                </c:pt>
                <c:pt idx="2">
                  <c:v>4.8611111111110938E-3</c:v>
                </c:pt>
                <c:pt idx="3">
                  <c:v>6.9444444444445308E-3</c:v>
                </c:pt>
                <c:pt idx="4">
                  <c:v>9.0277777777778567E-3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Salvataje!$U$3:$U$7</c15:sqref>
                  </c15:fullRef>
                </c:ext>
              </c:extLst>
              <c:f>Salvataje!$U$3:$U$7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2.4305555555555469E-2</c:v>
                </c:pt>
                <c:pt idx="2">
                  <c:v>2.777777777777779E-2</c:v>
                </c:pt>
                <c:pt idx="3">
                  <c:v>2.777777777777779E-2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1.736111111111116E-2</c:v>
                </c:pt>
                <c:pt idx="2">
                  <c:v>1.388888888888884E-2</c:v>
                </c:pt>
                <c:pt idx="3">
                  <c:v>1.388888888888884E-2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3.4722222222222099E-2</c:v>
                </c:pt>
                <c:pt idx="1">
                  <c:v>4.166666666666663E-2</c:v>
                </c:pt>
                <c:pt idx="2">
                  <c:v>3.4722222222222099E-2</c:v>
                </c:pt>
                <c:pt idx="3">
                  <c:v>3.819444444444442E-2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1.041666666666663E-2</c:v>
                </c:pt>
                <c:pt idx="2">
                  <c:v>1.0416666666666741E-2</c:v>
                </c:pt>
                <c:pt idx="3">
                  <c:v>3.4722222222222099E-3</c:v>
                </c:pt>
                <c:pt idx="4">
                  <c:v>1.7361111111111049E-2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0.1875</c:v>
                </c:pt>
                <c:pt idx="1">
                  <c:v>0.1840277777777779</c:v>
                </c:pt>
                <c:pt idx="2">
                  <c:v>0.21180555555555558</c:v>
                </c:pt>
                <c:pt idx="3">
                  <c:v>0.17361111111111116</c:v>
                </c:pt>
                <c:pt idx="4">
                  <c:v>0.19097222222222232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1.2499999999999845E-2</c:v>
                </c:pt>
                <c:pt idx="2">
                  <c:v>1.0416666666666741E-2</c:v>
                </c:pt>
                <c:pt idx="3">
                  <c:v>1.041666666666663E-2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3.125E-2</c:v>
                </c:pt>
                <c:pt idx="1">
                  <c:v>2.2222222222222254E-2</c:v>
                </c:pt>
                <c:pt idx="2">
                  <c:v>3.125E-2</c:v>
                </c:pt>
                <c:pt idx="3">
                  <c:v>3.125E-2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4.861111111111116E-2</c:v>
                </c:pt>
                <c:pt idx="1">
                  <c:v>6.25E-2</c:v>
                </c:pt>
                <c:pt idx="2">
                  <c:v>3.4722222222222099E-2</c:v>
                </c:pt>
                <c:pt idx="3">
                  <c:v>7.638888888888884E-2</c:v>
                </c:pt>
                <c:pt idx="4">
                  <c:v>6.5972222222222099E-2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0.39583333333333331</c:v>
                </c:pt>
                <c:pt idx="2">
                  <c:v>0.3125</c:v>
                </c:pt>
                <c:pt idx="3">
                  <c:v>0.30902777777777779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6.9444444444444198E-3</c:v>
                </c:pt>
                <c:pt idx="2">
                  <c:v>2.0833333333333315E-2</c:v>
                </c:pt>
                <c:pt idx="3">
                  <c:v>2.777777777777779E-2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3.125E-2</c:v>
                </c:pt>
                <c:pt idx="1">
                  <c:v>8.3333333333334147E-3</c:v>
                </c:pt>
                <c:pt idx="2">
                  <c:v>2.430555555555558E-2</c:v>
                </c:pt>
                <c:pt idx="3">
                  <c:v>2.6388888888888851E-2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0.1965277777777778</c:v>
                </c:pt>
                <c:pt idx="1">
                  <c:v>0.19305555555555548</c:v>
                </c:pt>
                <c:pt idx="2">
                  <c:v>0.1423611111111111</c:v>
                </c:pt>
                <c:pt idx="3">
                  <c:v>0.16111111111111115</c:v>
                </c:pt>
                <c:pt idx="4">
                  <c:v>0.21875000000000006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1.1805555555555514E-2</c:v>
                </c:pt>
                <c:pt idx="1">
                  <c:v>6.9444444444444198E-3</c:v>
                </c:pt>
                <c:pt idx="2">
                  <c:v>1.041666666666663E-2</c:v>
                </c:pt>
                <c:pt idx="3">
                  <c:v>6.9444444444444198E-3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2.430555555555558E-2</c:v>
                </c:pt>
                <c:pt idx="2">
                  <c:v>3.4722222222222321E-2</c:v>
                </c:pt>
                <c:pt idx="3">
                  <c:v>2.777777777777779E-2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5.208333333333337E-2</c:v>
                </c:pt>
                <c:pt idx="1">
                  <c:v>1.736111111111116E-2</c:v>
                </c:pt>
                <c:pt idx="2">
                  <c:v>0.10763888888888884</c:v>
                </c:pt>
                <c:pt idx="3">
                  <c:v>9.027777777777779E-2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969735</xdr:colOff>
      <xdr:row>17</xdr:row>
      <xdr:rowOff>7028</xdr:rowOff>
    </xdr:from>
    <xdr:to>
      <xdr:col>16</xdr:col>
      <xdr:colOff>1028700</xdr:colOff>
      <xdr:row>52</xdr:row>
      <xdr:rowOff>173717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326116</xdr:colOff>
      <xdr:row>50</xdr:row>
      <xdr:rowOff>190500</xdr:rowOff>
    </xdr:from>
    <xdr:to>
      <xdr:col>11</xdr:col>
      <xdr:colOff>889000</xdr:colOff>
      <xdr:row>52</xdr:row>
      <xdr:rowOff>67130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635716" y="10795000"/>
          <a:ext cx="5628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5:51</a:t>
          </a:fld>
          <a:endParaRPr lang="es-CL" sz="1050"/>
        </a:p>
      </xdr:txBody>
    </xdr:sp>
    <xdr:clientData/>
  </xdr:twoCellAnchor>
  <xdr:twoCellAnchor>
    <xdr:from>
      <xdr:col>10</xdr:col>
      <xdr:colOff>743857</xdr:colOff>
      <xdr:row>50</xdr:row>
      <xdr:rowOff>184152</xdr:rowOff>
    </xdr:from>
    <xdr:to>
      <xdr:col>10</xdr:col>
      <xdr:colOff>1149350</xdr:colOff>
      <xdr:row>52</xdr:row>
      <xdr:rowOff>67675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488057" y="10788652"/>
          <a:ext cx="405493" cy="2899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10</xdr:col>
      <xdr:colOff>1835829</xdr:colOff>
      <xdr:row>50</xdr:row>
      <xdr:rowOff>198666</xdr:rowOff>
    </xdr:from>
    <xdr:to>
      <xdr:col>10</xdr:col>
      <xdr:colOff>2393722</xdr:colOff>
      <xdr:row>52</xdr:row>
      <xdr:rowOff>90716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80029" y="108031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4:14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  <xdr:twoCellAnchor>
    <xdr:from>
      <xdr:col>12</xdr:col>
      <xdr:colOff>186191</xdr:colOff>
      <xdr:row>51</xdr:row>
      <xdr:rowOff>30479</xdr:rowOff>
    </xdr:from>
    <xdr:to>
      <xdr:col>12</xdr:col>
      <xdr:colOff>723900</xdr:colOff>
      <xdr:row>52</xdr:row>
      <xdr:rowOff>128816</xdr:rowOff>
    </xdr:to>
    <xdr:sp macro="" textlink="G19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64191" y="10838179"/>
          <a:ext cx="537709" cy="3015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13</xdr:col>
      <xdr:colOff>645159</xdr:colOff>
      <xdr:row>51</xdr:row>
      <xdr:rowOff>38100</xdr:rowOff>
    </xdr:from>
    <xdr:to>
      <xdr:col>14</xdr:col>
      <xdr:colOff>304800</xdr:colOff>
      <xdr:row>52</xdr:row>
      <xdr:rowOff>103416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74059" y="108458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14</xdr:col>
      <xdr:colOff>1163865</xdr:colOff>
      <xdr:row>40</xdr:row>
      <xdr:rowOff>144238</xdr:rowOff>
    </xdr:from>
    <xdr:to>
      <xdr:col>16</xdr:col>
      <xdr:colOff>876300</xdr:colOff>
      <xdr:row>41</xdr:row>
      <xdr:rowOff>198664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43665" y="87167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16</xdr:col>
      <xdr:colOff>166912</xdr:colOff>
      <xdr:row>43</xdr:row>
      <xdr:rowOff>83458</xdr:rowOff>
    </xdr:from>
    <xdr:to>
      <xdr:col>16</xdr:col>
      <xdr:colOff>724805</xdr:colOff>
      <xdr:row>44</xdr:row>
      <xdr:rowOff>178708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810512" y="92655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5:34</a:t>
          </a:fld>
          <a:endParaRPr lang="es-CL" sz="1050"/>
        </a:p>
      </xdr:txBody>
    </xdr:sp>
    <xdr:clientData/>
  </xdr:twoCellAnchor>
  <xdr:twoCellAnchor>
    <xdr:from>
      <xdr:col>16</xdr:col>
      <xdr:colOff>166912</xdr:colOff>
      <xdr:row>45</xdr:row>
      <xdr:rowOff>185966</xdr:rowOff>
    </xdr:from>
    <xdr:to>
      <xdr:col>16</xdr:col>
      <xdr:colOff>724805</xdr:colOff>
      <xdr:row>47</xdr:row>
      <xdr:rowOff>77109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810512" y="97744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153305</xdr:colOff>
      <xdr:row>48</xdr:row>
      <xdr:rowOff>93074</xdr:rowOff>
    </xdr:from>
    <xdr:to>
      <xdr:col>16</xdr:col>
      <xdr:colOff>711198</xdr:colOff>
      <xdr:row>49</xdr:row>
      <xdr:rowOff>195944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96905" y="10291174"/>
          <a:ext cx="557893" cy="306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93%</a:t>
          </a:fld>
          <a:endParaRPr lang="es-CL" sz="1050"/>
        </a:p>
      </xdr:txBody>
    </xdr:sp>
    <xdr:clientData/>
  </xdr:twoCellAnchor>
  <xdr:twoCellAnchor>
    <xdr:from>
      <xdr:col>15</xdr:col>
      <xdr:colOff>89806</xdr:colOff>
      <xdr:row>43</xdr:row>
      <xdr:rowOff>92530</xdr:rowOff>
    </xdr:from>
    <xdr:to>
      <xdr:col>16</xdr:col>
      <xdr:colOff>79828</xdr:colOff>
      <xdr:row>44</xdr:row>
      <xdr:rowOff>198665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77706" y="92746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119742</xdr:colOff>
      <xdr:row>45</xdr:row>
      <xdr:rowOff>122465</xdr:rowOff>
    </xdr:from>
    <xdr:to>
      <xdr:col>16</xdr:col>
      <xdr:colOff>109764</xdr:colOff>
      <xdr:row>47</xdr:row>
      <xdr:rowOff>25401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607642" y="97109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95249</xdr:colOff>
      <xdr:row>48</xdr:row>
      <xdr:rowOff>71668</xdr:rowOff>
    </xdr:from>
    <xdr:to>
      <xdr:col>16</xdr:col>
      <xdr:colOff>85271</xdr:colOff>
      <xdr:row>49</xdr:row>
      <xdr:rowOff>169275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83149" y="10269768"/>
          <a:ext cx="1145722" cy="3008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6:28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6:13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6:39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6:11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103%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6:22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5:13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381770</xdr:colOff>
      <xdr:row>50</xdr:row>
      <xdr:rowOff>101600</xdr:rowOff>
    </xdr:from>
    <xdr:to>
      <xdr:col>17</xdr:col>
      <xdr:colOff>38099</xdr:colOff>
      <xdr:row>51</xdr:row>
      <xdr:rowOff>154216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529570" y="10896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6:23</a:t>
          </a:fld>
          <a:endParaRPr lang="es-CL" sz="1050"/>
        </a:p>
      </xdr:txBody>
    </xdr:sp>
    <xdr:clientData/>
  </xdr:twoCellAnchor>
  <xdr:twoCellAnchor>
    <xdr:from>
      <xdr:col>15</xdr:col>
      <xdr:colOff>18776</xdr:colOff>
      <xdr:row>50</xdr:row>
      <xdr:rowOff>88900</xdr:rowOff>
    </xdr:from>
    <xdr:to>
      <xdr:col>15</xdr:col>
      <xdr:colOff>571500</xdr:colOff>
      <xdr:row>51</xdr:row>
      <xdr:rowOff>152400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315676" y="10883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6:18</a:t>
          </a:fld>
          <a:endParaRPr lang="es-CL" sz="1050"/>
        </a:p>
      </xdr:txBody>
    </xdr:sp>
    <xdr:clientData/>
  </xdr:twoCellAnchor>
  <xdr:twoCellAnchor>
    <xdr:from>
      <xdr:col>17</xdr:col>
      <xdr:colOff>574039</xdr:colOff>
      <xdr:row>50</xdr:row>
      <xdr:rowOff>114300</xdr:rowOff>
    </xdr:from>
    <xdr:to>
      <xdr:col>18</xdr:col>
      <xdr:colOff>254000</xdr:colOff>
      <xdr:row>51</xdr:row>
      <xdr:rowOff>141516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572739" y="10909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19</xdr:col>
      <xdr:colOff>249465</xdr:colOff>
      <xdr:row>41</xdr:row>
      <xdr:rowOff>68038</xdr:rowOff>
    </xdr:from>
    <xdr:to>
      <xdr:col>21</xdr:col>
      <xdr:colOff>292100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949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20</xdr:col>
      <xdr:colOff>433612</xdr:colOff>
      <xdr:row>44</xdr:row>
      <xdr:rowOff>7258</xdr:rowOff>
    </xdr:from>
    <xdr:to>
      <xdr:col>21</xdr:col>
      <xdr:colOff>140605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099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6:07</a:t>
          </a:fld>
          <a:endParaRPr lang="es-CL" sz="1050"/>
        </a:p>
      </xdr:txBody>
    </xdr:sp>
    <xdr:clientData/>
  </xdr:twoCellAnchor>
  <xdr:twoCellAnchor>
    <xdr:from>
      <xdr:col>20</xdr:col>
      <xdr:colOff>433612</xdr:colOff>
      <xdr:row>46</xdr:row>
      <xdr:rowOff>109766</xdr:rowOff>
    </xdr:from>
    <xdr:to>
      <xdr:col>21</xdr:col>
      <xdr:colOff>140605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099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420005</xdr:colOff>
      <xdr:row>49</xdr:row>
      <xdr:rowOff>24494</xdr:rowOff>
    </xdr:from>
    <xdr:to>
      <xdr:col>21</xdr:col>
      <xdr:colOff>126998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085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102%</a:t>
          </a:fld>
          <a:endParaRPr lang="es-CL" sz="1050"/>
        </a:p>
      </xdr:txBody>
    </xdr:sp>
    <xdr:clientData/>
  </xdr:twoCellAnchor>
  <xdr:twoCellAnchor>
    <xdr:from>
      <xdr:col>19</xdr:col>
      <xdr:colOff>407306</xdr:colOff>
      <xdr:row>44</xdr:row>
      <xdr:rowOff>16330</xdr:rowOff>
    </xdr:from>
    <xdr:to>
      <xdr:col>20</xdr:col>
      <xdr:colOff>346528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107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406762</xdr:colOff>
      <xdr:row>46</xdr:row>
      <xdr:rowOff>46265</xdr:rowOff>
    </xdr:from>
    <xdr:to>
      <xdr:col>20</xdr:col>
      <xdr:colOff>376464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107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412749</xdr:colOff>
      <xdr:row>48</xdr:row>
      <xdr:rowOff>198668</xdr:rowOff>
    </xdr:from>
    <xdr:to>
      <xdr:col>20</xdr:col>
      <xdr:colOff>351971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113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461917</xdr:colOff>
      <xdr:row>50</xdr:row>
      <xdr:rowOff>76200</xdr:rowOff>
    </xdr:from>
    <xdr:to>
      <xdr:col>13</xdr:col>
      <xdr:colOff>114300</xdr:colOff>
      <xdr:row>51</xdr:row>
      <xdr:rowOff>169275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06117" y="108712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5:43</a:t>
          </a:fld>
          <a:endParaRPr lang="es-CL" sz="1050"/>
        </a:p>
      </xdr:txBody>
    </xdr:sp>
    <xdr:clientData/>
  </xdr:twoCellAnchor>
  <xdr:twoCellAnchor>
    <xdr:from>
      <xdr:col>13</xdr:col>
      <xdr:colOff>588689</xdr:colOff>
      <xdr:row>50</xdr:row>
      <xdr:rowOff>101600</xdr:rowOff>
    </xdr:from>
    <xdr:to>
      <xdr:col>14</xdr:col>
      <xdr:colOff>203200</xdr:colOff>
      <xdr:row>51</xdr:row>
      <xdr:rowOff>154216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183789" y="10896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6:40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6:52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6:53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6:30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93%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6:52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5:15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6:18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6:09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19</xdr:col>
      <xdr:colOff>20865</xdr:colOff>
      <xdr:row>41</xdr:row>
      <xdr:rowOff>68038</xdr:rowOff>
    </xdr:from>
    <xdr:to>
      <xdr:col>21</xdr:col>
      <xdr:colOff>177800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102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20</xdr:col>
      <xdr:colOff>319312</xdr:colOff>
      <xdr:row>44</xdr:row>
      <xdr:rowOff>7258</xdr:rowOff>
    </xdr:from>
    <xdr:to>
      <xdr:col>21</xdr:col>
      <xdr:colOff>26305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251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20</xdr:col>
      <xdr:colOff>319312</xdr:colOff>
      <xdr:row>46</xdr:row>
      <xdr:rowOff>109766</xdr:rowOff>
    </xdr:from>
    <xdr:to>
      <xdr:col>21</xdr:col>
      <xdr:colOff>26305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251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305705</xdr:colOff>
      <xdr:row>49</xdr:row>
      <xdr:rowOff>24494</xdr:rowOff>
    </xdr:from>
    <xdr:to>
      <xdr:col>21</xdr:col>
      <xdr:colOff>12698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238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19</xdr:col>
      <xdr:colOff>178706</xdr:colOff>
      <xdr:row>44</xdr:row>
      <xdr:rowOff>16330</xdr:rowOff>
    </xdr:from>
    <xdr:to>
      <xdr:col>20</xdr:col>
      <xdr:colOff>232228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260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178162</xdr:colOff>
      <xdr:row>46</xdr:row>
      <xdr:rowOff>46265</xdr:rowOff>
    </xdr:from>
    <xdr:to>
      <xdr:col>20</xdr:col>
      <xdr:colOff>262164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259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184149</xdr:colOff>
      <xdr:row>48</xdr:row>
      <xdr:rowOff>198668</xdr:rowOff>
    </xdr:from>
    <xdr:to>
      <xdr:col>20</xdr:col>
      <xdr:colOff>237671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265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6:11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4:43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6:16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6:28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6:18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102%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6:19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5:08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1497330</xdr:colOff>
      <xdr:row>9</xdr:row>
      <xdr:rowOff>167640</xdr:rowOff>
    </xdr:from>
    <xdr:to>
      <xdr:col>3</xdr:col>
      <xdr:colOff>228600</xdr:colOff>
      <xdr:row>15</xdr:row>
      <xdr:rowOff>137160</xdr:rowOff>
    </xdr:to>
    <xdr:cxnSp macro="">
      <xdr:nvCxnSpPr>
        <xdr:cNvPr id="4" name="Conector angular 3"/>
        <xdr:cNvCxnSpPr/>
      </xdr:nvCxnSpPr>
      <xdr:spPr>
        <a:xfrm rot="5400000">
          <a:off x="1590675" y="2124075"/>
          <a:ext cx="1478280" cy="119253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</xdr:colOff>
      <xdr:row>0</xdr:row>
      <xdr:rowOff>167640</xdr:rowOff>
    </xdr:from>
    <xdr:to>
      <xdr:col>26</xdr:col>
      <xdr:colOff>381000</xdr:colOff>
      <xdr:row>2</xdr:row>
      <xdr:rowOff>175260</xdr:rowOff>
    </xdr:to>
    <xdr:sp macro="" textlink="">
      <xdr:nvSpPr>
        <xdr:cNvPr id="13" name="Rectángulo 12"/>
        <xdr:cNvSpPr/>
      </xdr:nvSpPr>
      <xdr:spPr>
        <a:xfrm>
          <a:off x="6134100" y="16764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Miercoles</a:t>
          </a:r>
          <a:r>
            <a:rPr lang="es-CL" sz="1100" baseline="0"/>
            <a:t> y jueves se da prioridad a reparación red de agua</a:t>
          </a:r>
          <a:endParaRPr lang="es-CL" sz="1100"/>
        </a:p>
        <a:p>
          <a:pPr algn="l"/>
          <a:endParaRPr lang="es-CL" sz="1100"/>
        </a:p>
      </xdr:txBody>
    </xdr:sp>
    <xdr:clientData/>
  </xdr:twoCellAnchor>
  <xdr:twoCellAnchor>
    <xdr:from>
      <xdr:col>15</xdr:col>
      <xdr:colOff>198120</xdr:colOff>
      <xdr:row>1</xdr:row>
      <xdr:rowOff>171450</xdr:rowOff>
    </xdr:from>
    <xdr:to>
      <xdr:col>16</xdr:col>
      <xdr:colOff>68580</xdr:colOff>
      <xdr:row>9</xdr:row>
      <xdr:rowOff>60960</xdr:rowOff>
    </xdr:to>
    <xdr:cxnSp macro="">
      <xdr:nvCxnSpPr>
        <xdr:cNvPr id="15" name="Conector angular 14"/>
        <xdr:cNvCxnSpPr>
          <a:endCxn id="13" idx="1"/>
        </xdr:cNvCxnSpPr>
      </xdr:nvCxnSpPr>
      <xdr:spPr>
        <a:xfrm rot="5400000" flipH="1" flipV="1">
          <a:off x="5316855" y="1057275"/>
          <a:ext cx="1504950" cy="12954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14</xdr:row>
      <xdr:rowOff>68580</xdr:rowOff>
    </xdr:from>
    <xdr:to>
      <xdr:col>5</xdr:col>
      <xdr:colOff>60960</xdr:colOff>
      <xdr:row>16</xdr:row>
      <xdr:rowOff>76200</xdr:rowOff>
    </xdr:to>
    <xdr:sp macro="" textlink="">
      <xdr:nvSpPr>
        <xdr:cNvPr id="16" name="Rectángulo 15"/>
        <xdr:cNvSpPr/>
      </xdr:nvSpPr>
      <xdr:spPr>
        <a:xfrm>
          <a:off x="312420" y="319278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prioridad a limpieza de galeria</a:t>
          </a:r>
          <a:endParaRPr lang="es-CL" sz="1100" baseline="0"/>
        </a:p>
        <a:p>
          <a:pPr algn="l"/>
          <a:endParaRPr lang="es-CL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D4F23F80-2737-4CBF-AC1E-D017783FAB62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AAD13C3-1590-469F-B651-7DC8C8CEFB67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9076E430-6069-440F-B1D0-AA23CBB62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BDA98C13-5306-4473-A223-34E5D351DCBC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27AA57CD-90FC-4BDD-ACAD-E918F3B43BAA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/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/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5:44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5:51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5:38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94%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4:45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C41EBFAB-ECDD-4DBD-A803-41D28B5E9625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5:41</a:t>
          </a:fld>
          <a:endParaRPr lang="es-CL" sz="1050"/>
        </a:p>
      </xdr:txBody>
    </xdr:sp>
    <xdr:clientData/>
  </xdr:twoCellAnchor>
  <xdr:twoCellAnchor>
    <xdr:from>
      <xdr:col>10</xdr:col>
      <xdr:colOff>12700</xdr:colOff>
      <xdr:row>9</xdr:row>
      <xdr:rowOff>76200</xdr:rowOff>
    </xdr:from>
    <xdr:to>
      <xdr:col>11</xdr:col>
      <xdr:colOff>17235</xdr:colOff>
      <xdr:row>13</xdr:row>
      <xdr:rowOff>16334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0769600" y="2489200"/>
          <a:ext cx="1922235" cy="7529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C41EBFAB-ECDD-4DBD-A803-41D28B5E9625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 editAs="oneCell">
    <xdr:from>
      <xdr:col>2</xdr:col>
      <xdr:colOff>368300</xdr:colOff>
      <xdr:row>25</xdr:row>
      <xdr:rowOff>114300</xdr:rowOff>
    </xdr:from>
    <xdr:to>
      <xdr:col>6</xdr:col>
      <xdr:colOff>557675</xdr:colOff>
      <xdr:row>42</xdr:row>
      <xdr:rowOff>128825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4900" y="5778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6:06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5:44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96%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4:40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76200</xdr:rowOff>
    </xdr:from>
    <xdr:to>
      <xdr:col>5</xdr:col>
      <xdr:colOff>1065675</xdr:colOff>
      <xdr:row>41</xdr:row>
      <xdr:rowOff>90725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1500" y="5346700"/>
          <a:ext cx="46089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179795</xdr:colOff>
      <xdr:row>17</xdr:row>
      <xdr:rowOff>134028</xdr:rowOff>
    </xdr:from>
    <xdr:to>
      <xdr:col>18</xdr:col>
      <xdr:colOff>101600</xdr:colOff>
      <xdr:row>53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5:49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25</xdr:row>
      <xdr:rowOff>127000</xdr:rowOff>
    </xdr:from>
    <xdr:to>
      <xdr:col>6</xdr:col>
      <xdr:colOff>316375</xdr:colOff>
      <xdr:row>42</xdr:row>
      <xdr:rowOff>141525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10:32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10:44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10:22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102%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10:50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9:10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5:39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94%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4:42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151855</xdr:colOff>
      <xdr:row>15</xdr:row>
      <xdr:rowOff>108628</xdr:rowOff>
    </xdr:from>
    <xdr:to>
      <xdr:col>21</xdr:col>
      <xdr:colOff>698500</xdr:colOff>
      <xdr:row>51</xdr:row>
      <xdr:rowOff>72117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19</xdr:col>
      <xdr:colOff>452665</xdr:colOff>
      <xdr:row>41</xdr:row>
      <xdr:rowOff>68038</xdr:rowOff>
    </xdr:from>
    <xdr:to>
      <xdr:col>21</xdr:col>
      <xdr:colOff>609600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5595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20</xdr:col>
      <xdr:colOff>751112</xdr:colOff>
      <xdr:row>44</xdr:row>
      <xdr:rowOff>7258</xdr:rowOff>
    </xdr:from>
    <xdr:to>
      <xdr:col>21</xdr:col>
      <xdr:colOff>458105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089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20</xdr:col>
      <xdr:colOff>751112</xdr:colOff>
      <xdr:row>46</xdr:row>
      <xdr:rowOff>109766</xdr:rowOff>
    </xdr:from>
    <xdr:to>
      <xdr:col>21</xdr:col>
      <xdr:colOff>458105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089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737505</xdr:colOff>
      <xdr:row>49</xdr:row>
      <xdr:rowOff>24494</xdr:rowOff>
    </xdr:from>
    <xdr:to>
      <xdr:col>21</xdr:col>
      <xdr:colOff>444498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6953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97%</a:t>
          </a:fld>
          <a:endParaRPr lang="es-CL" sz="1050"/>
        </a:p>
      </xdr:txBody>
    </xdr:sp>
    <xdr:clientData/>
  </xdr:twoCellAnchor>
  <xdr:twoCellAnchor>
    <xdr:from>
      <xdr:col>19</xdr:col>
      <xdr:colOff>610506</xdr:colOff>
      <xdr:row>44</xdr:row>
      <xdr:rowOff>16330</xdr:rowOff>
    </xdr:from>
    <xdr:to>
      <xdr:col>20</xdr:col>
      <xdr:colOff>664028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7174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609962</xdr:colOff>
      <xdr:row>46</xdr:row>
      <xdr:rowOff>46265</xdr:rowOff>
    </xdr:from>
    <xdr:to>
      <xdr:col>20</xdr:col>
      <xdr:colOff>693964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7168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615949</xdr:colOff>
      <xdr:row>48</xdr:row>
      <xdr:rowOff>198668</xdr:rowOff>
    </xdr:from>
    <xdr:to>
      <xdr:col>20</xdr:col>
      <xdr:colOff>669471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7228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5:03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a134" displayName="Tabla134" ref="M2:V71" totalsRowShown="0">
  <autoFilter ref="M2:V71"/>
  <sortState ref="M2:S35">
    <sortCondition ref="M2"/>
  </sortState>
  <tableColumns count="10">
    <tableColumn id="2" name="Columna2" dataDxfId="203">
      <calculatedColumnFormula>Tabla5[[#This Row],[Columna1]]</calculatedColumnFormula>
    </tableColumn>
    <tableColumn id="9" name="Columna22" dataDxfId="202"/>
    <tableColumn id="8" name="Columna3" dataDxfId="201"/>
    <tableColumn id="3" name="Llegada a instalación" dataDxfId="200">
      <calculatedColumnFormula>D3</calculatedColumnFormula>
    </tableColumn>
    <tableColumn id="4" name="Tiempo en instalación " dataDxfId="199">
      <calculatedColumnFormula>E3-D3</calculatedColumnFormula>
    </tableColumn>
    <tableColumn id="5" name="Traslado a postura " dataDxfId="198">
      <calculatedColumnFormula>F3-E3</calculatedColumnFormula>
    </tableColumn>
    <tableColumn id="6" name="Tiempo disponible AM" dataDxfId="197">
      <calculatedColumnFormula>#REF!-F3</calculatedColumnFormula>
    </tableColumn>
    <tableColumn id="12" name="Traslado Colación" dataDxfId="196">
      <calculatedColumnFormula>H3-G3</calculatedColumnFormula>
    </tableColumn>
    <tableColumn id="7" name="Almuerzo" dataDxfId="195">
      <calculatedColumnFormula>#REF!-#REF!</calculatedColumnFormula>
    </tableColumn>
    <tableColumn id="10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37" name="Tabla538" displayName="Tabla538" ref="A2:J23" totalsRowShown="0" headerRowDxfId="108" dataDxfId="107" tableBorderDxfId="106">
  <autoFilter ref="A2:J23"/>
  <sortState ref="A3:J19">
    <sortCondition ref="A3"/>
  </sortState>
  <tableColumns count="10">
    <tableColumn id="1" name="Columna1" dataDxfId="105"/>
    <tableColumn id="14" name="Dia" dataDxfId="104"/>
    <tableColumn id="2" name="FECHA" dataDxfId="103"/>
    <tableColumn id="3" name="LLEGADA INSTALACION" dataDxfId="102"/>
    <tableColumn id="4" name="SALIDA INSTALACION" dataDxfId="101"/>
    <tableColumn id="5" name="INICIO ACT.     AM" dataDxfId="100"/>
    <tableColumn id="6" name="TERMINO ACT. AM" dataDxfId="99"/>
    <tableColumn id="12" name="ALMUERZO"/>
    <tableColumn id="7" name="INICIO ACTIVIDADES PM" dataDxfId="98"/>
    <tableColumn id="13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Tabla1342" displayName="Tabla1342" ref="M2:V71" totalsRowShown="0">
  <autoFilter ref="M2:V71"/>
  <sortState ref="M3:S36">
    <sortCondition ref="M2"/>
  </sortState>
  <tableColumns count="10">
    <tableColumn id="2" name="Columna2" dataDxfId="97">
      <calculatedColumnFormula>Tabla5[[#This Row],[Columna1]]</calculatedColumnFormula>
    </tableColumn>
    <tableColumn id="9" name="Columna22" dataDxfId="96"/>
    <tableColumn id="8" name="Columna3" dataDxfId="95"/>
    <tableColumn id="3" name="Llegada a instalación" dataDxfId="94">
      <calculatedColumnFormula>D3</calculatedColumnFormula>
    </tableColumn>
    <tableColumn id="4" name="Tiempo en instalación " dataDxfId="93">
      <calculatedColumnFormula>E3-D3</calculatedColumnFormula>
    </tableColumn>
    <tableColumn id="5" name="Traslado a postura " dataDxfId="92">
      <calculatedColumnFormula>F3-E3</calculatedColumnFormula>
    </tableColumn>
    <tableColumn id="6" name="Tiempo disponible AM" dataDxfId="91">
      <calculatedColumnFormula>#REF!-F3</calculatedColumnFormula>
    </tableColumn>
    <tableColumn id="12" name="Traslado Colación" dataDxfId="90">
      <calculatedColumnFormula>H3-G3</calculatedColumnFormula>
    </tableColumn>
    <tableColumn id="7" name="Almuerzo" dataDxfId="89">
      <calculatedColumnFormula>#REF!-#REF!</calculatedColumnFormula>
    </tableColumn>
    <tableColumn id="10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2" name="Tabla53" displayName="Tabla53" ref="A2:J23" totalsRowShown="0" headerRowDxfId="87" dataDxfId="86" tableBorderDxfId="85">
  <autoFilter ref="A2:J23"/>
  <sortState ref="A3:J19">
    <sortCondition ref="A3"/>
  </sortState>
  <tableColumns count="10">
    <tableColumn id="1" name="Columna1" dataDxfId="84"/>
    <tableColumn id="14" name="Dia" dataDxfId="83"/>
    <tableColumn id="2" name="FECHA" dataDxfId="82"/>
    <tableColumn id="3" name="LLEGADA INSTALACION" dataDxfId="81"/>
    <tableColumn id="4" name="SALIDA INSTALACION" dataDxfId="80"/>
    <tableColumn id="5" name="INICIO ACT.     AM" dataDxfId="79"/>
    <tableColumn id="6" name="TERMINO ACT. AM" dataDxfId="78"/>
    <tableColumn id="12" name="ALMUERZO"/>
    <tableColumn id="7" name="INICIO ACTIVIDADES PM" dataDxfId="77"/>
    <tableColumn id="13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8" name="Tabla53839" displayName="Tabla53839" ref="A2:J23" totalsRowShown="0" headerRowDxfId="76" dataDxfId="75" tableBorderDxfId="74">
  <autoFilter ref="A2:J23"/>
  <sortState ref="A3:J19">
    <sortCondition ref="A3"/>
  </sortState>
  <tableColumns count="10">
    <tableColumn id="1" name="Columna1" dataDxfId="73"/>
    <tableColumn id="14" name="Dia" dataDxfId="72"/>
    <tableColumn id="2" name="FECHA" dataDxfId="71"/>
    <tableColumn id="3" name="LLEGADA INSTALACION" dataDxfId="70"/>
    <tableColumn id="4" name="SALIDA INSTALACION" dataDxfId="69"/>
    <tableColumn id="5" name="INICIO ACT.     AM" dataDxfId="68"/>
    <tableColumn id="6" name="TERMINO ACT. AM" dataDxfId="67"/>
    <tableColumn id="12" name="ALMUERZO"/>
    <tableColumn id="7" name="INICIO ACTIVIDADES PM" dataDxfId="66"/>
    <tableColumn id="13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9" name="Tabla5383940" displayName="Tabla5383940" ref="A2:J23" totalsRowShown="0" headerRowDxfId="65" dataDxfId="64" tableBorderDxfId="63">
  <autoFilter ref="A2:J23"/>
  <sortState ref="A3:J19">
    <sortCondition ref="A3"/>
  </sortState>
  <tableColumns count="10">
    <tableColumn id="1" name="Columna1" dataDxfId="62"/>
    <tableColumn id="14" name="Dia" dataDxfId="61"/>
    <tableColumn id="2" name="FECHA" dataDxfId="60"/>
    <tableColumn id="3" name="LLEGADA INSTALACION" dataDxfId="59"/>
    <tableColumn id="4" name="SALIDA INSTALACION" dataDxfId="58"/>
    <tableColumn id="5" name="INICIO ACT.     AM" dataDxfId="57"/>
    <tableColumn id="6" name="TERMINO ACT. AM" dataDxfId="56"/>
    <tableColumn id="12" name="ALMUERZO"/>
    <tableColumn id="7" name="INICIO ACTIVIDADES PM" dataDxfId="55"/>
    <tableColumn id="13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40" name="Tabla538394041" displayName="Tabla538394041" ref="A2:J23" totalsRowShown="0" headerRowDxfId="54" dataDxfId="53" tableBorderDxfId="52">
  <autoFilter ref="A2:J23"/>
  <sortState ref="A3:J19">
    <sortCondition ref="A3"/>
  </sortState>
  <tableColumns count="10">
    <tableColumn id="1" name="Columna1" dataDxfId="51"/>
    <tableColumn id="14" name="Dia" dataDxfId="50"/>
    <tableColumn id="2" name="FECHA" dataDxfId="49"/>
    <tableColumn id="3" name="LLEGADA INSTALACION" dataDxfId="48"/>
    <tableColumn id="4" name="SALIDA INSTALACION" dataDxfId="47"/>
    <tableColumn id="5" name="INICIO ACT.     AM" dataDxfId="46"/>
    <tableColumn id="6" name="TERMINO ACT. AM" dataDxfId="45"/>
    <tableColumn id="12" name="ALMUERZO"/>
    <tableColumn id="7" name="INICIO ACTIVIDADES PM" dataDxfId="44"/>
    <tableColumn id="13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41" name="Tabla53839404142" displayName="Tabla53839404142" ref="A2:J23" totalsRowShown="0" headerRowDxfId="43" dataDxfId="42" tableBorderDxfId="41">
  <autoFilter ref="A2:J23"/>
  <sortState ref="A3:J19">
    <sortCondition ref="A3"/>
  </sortState>
  <tableColumns count="10">
    <tableColumn id="1" name="Columna1" dataDxfId="40"/>
    <tableColumn id="14" name="Dia" dataDxfId="39"/>
    <tableColumn id="2" name="FECHA" dataDxfId="38"/>
    <tableColumn id="3" name="LLEGADA INSTALACION" dataDxfId="37"/>
    <tableColumn id="4" name="SALIDA INSTALACION" dataDxfId="36"/>
    <tableColumn id="5" name="INICIO ACT.     AM" dataDxfId="35"/>
    <tableColumn id="6" name="TERMINO ACT. AM" dataDxfId="34"/>
    <tableColumn id="12" name="ALMUERZO"/>
    <tableColumn id="7" name="INICIO ACTIVIDADES PM" dataDxfId="33"/>
    <tableColumn id="13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2" name="Tabla5383940414243" displayName="Tabla5383940414243" ref="A2:J23" totalsRowShown="0" headerRowDxfId="32" dataDxfId="31" tableBorderDxfId="30">
  <autoFilter ref="A2:J23"/>
  <sortState ref="A3:J19">
    <sortCondition ref="A3"/>
  </sortState>
  <tableColumns count="10">
    <tableColumn id="1" name="Columna1" dataDxfId="29"/>
    <tableColumn id="14" name="Dia" dataDxfId="28"/>
    <tableColumn id="2" name="FECHA" dataDxfId="27"/>
    <tableColumn id="3" name="LLEGADA INSTALACION" dataDxfId="26"/>
    <tableColumn id="4" name="SALIDA INSTALACION" dataDxfId="25"/>
    <tableColumn id="5" name="INICIO ACT.     AM" dataDxfId="24"/>
    <tableColumn id="6" name="TERMINO ACT. AM" dataDxfId="23"/>
    <tableColumn id="12" name="ALMUERZO"/>
    <tableColumn id="7" name="INICIO ACTIVIDADES PM" dataDxfId="22"/>
    <tableColumn id="13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43" name="Tabla538394041424344" displayName="Tabla538394041424344" ref="A2:J23" totalsRowShown="0" headerRowDxfId="21" dataDxfId="20" tableBorderDxfId="19">
  <autoFilter ref="A2:J23"/>
  <sortState ref="A3:J19">
    <sortCondition ref="A3"/>
  </sortState>
  <tableColumns count="10">
    <tableColumn id="1" name="Columna1" dataDxfId="18"/>
    <tableColumn id="14" name="Dia" dataDxfId="17"/>
    <tableColumn id="2" name="FECHA" dataDxfId="16"/>
    <tableColumn id="3" name="LLEGADA INSTALACION" dataDxfId="15"/>
    <tableColumn id="4" name="SALIDA INSTALACION" dataDxfId="14"/>
    <tableColumn id="5" name="INICIO ACT.     AM" dataDxfId="13"/>
    <tableColumn id="6" name="TERMINO ACT. AM" dataDxfId="12"/>
    <tableColumn id="12" name="ALMUERZO"/>
    <tableColumn id="7" name="INICIO ACTIVIDADES PM" dataDxfId="11"/>
    <tableColumn id="13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45" name="Tabla5383940414243444546" displayName="Tabla5383940414243444546" ref="A2:J23" totalsRowShown="0" headerRowDxfId="10" dataDxfId="9" tableBorderDxfId="8">
  <autoFilter ref="A2:J23"/>
  <sortState ref="A3:J19">
    <sortCondition ref="A3"/>
  </sortState>
  <tableColumns count="10">
    <tableColumn id="1" name="Columna1" dataDxfId="7"/>
    <tableColumn id="14" name="Dia" dataDxfId="6"/>
    <tableColumn id="2" name="FECHA" dataDxfId="5"/>
    <tableColumn id="3" name="LLEGADA INSTALACION" dataDxfId="4"/>
    <tableColumn id="4" name="SALIDA INSTALACION" dataDxfId="3"/>
    <tableColumn id="5" name="INICIO ACT.     AM" dataDxfId="2"/>
    <tableColumn id="6" name="TERMINO ACT. AM" dataDxfId="1"/>
    <tableColumn id="12" name="ALMUERZO"/>
    <tableColumn id="7" name="INICIO ACTIVIDADES PM" dataDxfId="0"/>
    <tableColumn id="13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A2:J23" totalsRowShown="0" headerRowDxfId="193" dataDxfId="192" tableBorderDxfId="191">
  <autoFilter ref="A2:J23"/>
  <sortState ref="A3:J19">
    <sortCondition ref="A3"/>
  </sortState>
  <tableColumns count="10">
    <tableColumn id="1" name="Columna1" dataDxfId="190"/>
    <tableColumn id="14" name="Dia" dataDxfId="189"/>
    <tableColumn id="2" name="FECHA" dataDxfId="188"/>
    <tableColumn id="3" name="LLEGADA INSTALACION" dataDxfId="187"/>
    <tableColumn id="4" name="SALIDA INSTALACION" dataDxfId="186"/>
    <tableColumn id="5" name="INICIO ACT.     AM" dataDxfId="185"/>
    <tableColumn id="6" name="TERMINO ACT. AM" dataDxfId="184"/>
    <tableColumn id="12" name="ALMUERZO"/>
    <tableColumn id="7" name="INICIO ACTIVIDADES PM" dataDxfId="183"/>
    <tableColumn id="13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a13412" displayName="Tabla13412" ref="M2:V71" totalsRowShown="0">
  <sortState ref="M3:S36">
    <sortCondition ref="M2"/>
  </sortState>
  <tableColumns count="10">
    <tableColumn id="2" name="Columna2" dataDxfId="182">
      <calculatedColumnFormula>Tabla5[[#This Row],[Columna1]]</calculatedColumnFormula>
    </tableColumn>
    <tableColumn id="9" name="Columna22" dataDxfId="181"/>
    <tableColumn id="8" name="Columna3" dataDxfId="180"/>
    <tableColumn id="3" name="Llegada a instalación" dataDxfId="179">
      <calculatedColumnFormula>D3</calculatedColumnFormula>
    </tableColumn>
    <tableColumn id="4" name="Tiempo en instalación " dataDxfId="178">
      <calculatedColumnFormula>E3-D3</calculatedColumnFormula>
    </tableColumn>
    <tableColumn id="5" name="Traslado a postura " dataDxfId="177">
      <calculatedColumnFormula>F3-E3</calculatedColumnFormula>
    </tableColumn>
    <tableColumn id="6" name="Tiempo disponible AM" dataDxfId="176">
      <calculatedColumnFormula>#REF!-F3</calculatedColumnFormula>
    </tableColumn>
    <tableColumn id="12" name="Traslado Colación" dataDxfId="175">
      <calculatedColumnFormula>H3-G3</calculatedColumnFormula>
    </tableColumn>
    <tableColumn id="7" name="Almuerzo" dataDxfId="174">
      <calculatedColumnFormula>#REF!-#REF!</calculatedColumnFormula>
    </tableColumn>
    <tableColumn id="10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2" name="Tabla513" displayName="Tabla513" ref="A2:J23" totalsRowShown="0" headerRowDxfId="172" dataDxfId="171" tableBorderDxfId="170">
  <autoFilter ref="A2:J23"/>
  <sortState ref="A3:J19">
    <sortCondition ref="A3"/>
  </sortState>
  <tableColumns count="10">
    <tableColumn id="1" name="Columna1" dataDxfId="169"/>
    <tableColumn id="14" name="Dia" dataDxfId="168"/>
    <tableColumn id="2" name="FECHA" dataDxfId="167"/>
    <tableColumn id="3" name="LLEGADA INSTALACION" dataDxfId="166"/>
    <tableColumn id="4" name="SALIDA INSTALACION" dataDxfId="165"/>
    <tableColumn id="5" name="INICIO ACT.     AM" dataDxfId="164"/>
    <tableColumn id="6" name="TERMINO ACT. AM" dataDxfId="163"/>
    <tableColumn id="12" name="ALMUERZO"/>
    <tableColumn id="7" name="INICIO ACTIVIDADES PM" dataDxfId="162"/>
    <tableColumn id="13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2" name="Tabla1341233" displayName="Tabla1341233" ref="M2:V71" totalsRowShown="0">
  <autoFilter ref="M2:V71"/>
  <sortState ref="M3:S36">
    <sortCondition ref="M2"/>
  </sortState>
  <tableColumns count="10">
    <tableColumn id="2" name="Columna2" dataDxfId="161">
      <calculatedColumnFormula>Tabla5[[#This Row],[Columna1]]</calculatedColumnFormula>
    </tableColumn>
    <tableColumn id="9" name="Columna22" dataDxfId="160"/>
    <tableColumn id="8" name="Columna3" dataDxfId="159"/>
    <tableColumn id="3" name="Llegada a instalación" dataDxfId="158">
      <calculatedColumnFormula>D3</calculatedColumnFormula>
    </tableColumn>
    <tableColumn id="4" name="Tiempo en instalación " dataDxfId="157">
      <calculatedColumnFormula>E3-D3</calculatedColumnFormula>
    </tableColumn>
    <tableColumn id="5" name="Traslado a postura " dataDxfId="156">
      <calculatedColumnFormula>F3-E3</calculatedColumnFormula>
    </tableColumn>
    <tableColumn id="6" name="Tiempo disponible AM" dataDxfId="155">
      <calculatedColumnFormula>#REF!-F3</calculatedColumnFormula>
    </tableColumn>
    <tableColumn id="12" name="Traslado Colación" dataDxfId="154">
      <calculatedColumnFormula>H3-G3</calculatedColumnFormula>
    </tableColumn>
    <tableColumn id="7" name="Almuerzo" dataDxfId="153">
      <calculatedColumnFormula>#REF!-#REF!</calculatedColumnFormula>
    </tableColumn>
    <tableColumn id="10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33" name="Tabla51334" displayName="Tabla51334" ref="A2:J23" totalsRowShown="0" headerRowDxfId="151" dataDxfId="150" tableBorderDxfId="149">
  <autoFilter ref="A2:J23"/>
  <sortState ref="A3:J19">
    <sortCondition ref="A3"/>
  </sortState>
  <tableColumns count="10">
    <tableColumn id="1" name="Columna1" dataDxfId="148"/>
    <tableColumn id="14" name="Dia" dataDxfId="147"/>
    <tableColumn id="2" name="FECHA" dataDxfId="146"/>
    <tableColumn id="3" name="LLEGADA INSTALACION" dataDxfId="145"/>
    <tableColumn id="4" name="SALIDA INSTALACION" dataDxfId="144"/>
    <tableColumn id="5" name="INICIO ACT.     AM" dataDxfId="143"/>
    <tableColumn id="6" name="TERMINO ACT. AM" dataDxfId="142"/>
    <tableColumn id="12" name="ALMUERZO"/>
    <tableColumn id="7" name="INICIO ACTIVIDADES PM" dataDxfId="141"/>
    <tableColumn id="13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4" name="Tabla13435" displayName="Tabla13435" ref="M2:V71" totalsRowShown="0">
  <autoFilter ref="M2:V71"/>
  <sortState ref="M3:S36">
    <sortCondition ref="M2"/>
  </sortState>
  <tableColumns count="10">
    <tableColumn id="2" name="Columna2" dataDxfId="140">
      <calculatedColumnFormula>Tabla5[[#This Row],[Columna1]]</calculatedColumnFormula>
    </tableColumn>
    <tableColumn id="9" name="Columna22" dataDxfId="139"/>
    <tableColumn id="8" name="Columna3" dataDxfId="138"/>
    <tableColumn id="3" name="Llegada a instalación" dataDxfId="137">
      <calculatedColumnFormula>D3</calculatedColumnFormula>
    </tableColumn>
    <tableColumn id="4" name="Tiempo en instalación " dataDxfId="136">
      <calculatedColumnFormula>E3-D3</calculatedColumnFormula>
    </tableColumn>
    <tableColumn id="5" name="Traslado a postura " dataDxfId="135">
      <calculatedColumnFormula>F3-E3</calculatedColumnFormula>
    </tableColumn>
    <tableColumn id="6" name="Tiempo disponible AM" dataDxfId="134">
      <calculatedColumnFormula>#REF!-F3</calculatedColumnFormula>
    </tableColumn>
    <tableColumn id="12" name="Traslado Colación" dataDxfId="133">
      <calculatedColumnFormula>H3-G3</calculatedColumnFormula>
    </tableColumn>
    <tableColumn id="7" name="Almuerzo" dataDxfId="132">
      <calculatedColumnFormula>#REF!-#REF!</calculatedColumnFormula>
    </tableColumn>
    <tableColumn id="10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35" name="Tabla536" displayName="Tabla536" ref="A2:J23" totalsRowShown="0" headerRowDxfId="130" dataDxfId="129" tableBorderDxfId="128">
  <autoFilter ref="A2:J23"/>
  <sortState ref="A3:J19">
    <sortCondition ref="A3"/>
  </sortState>
  <tableColumns count="10">
    <tableColumn id="1" name="Columna1" dataDxfId="127"/>
    <tableColumn id="14" name="Dia" dataDxfId="126"/>
    <tableColumn id="2" name="FECHA" dataDxfId="125"/>
    <tableColumn id="3" name="LLEGADA INSTALACION" dataDxfId="124"/>
    <tableColumn id="4" name="SALIDA INSTALACION" dataDxfId="123"/>
    <tableColumn id="5" name="INICIO ACT.     AM" dataDxfId="122"/>
    <tableColumn id="6" name="TERMINO ACT. AM" dataDxfId="121"/>
    <tableColumn id="12" name="ALMUERZO"/>
    <tableColumn id="7" name="INICIO ACTIVIDADES PM" dataDxfId="120"/>
    <tableColumn id="13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6" name="Tabla537" displayName="Tabla537" ref="A2:J23" totalsRowShown="0" headerRowDxfId="119" dataDxfId="118" tableBorderDxfId="117">
  <autoFilter ref="A2:J23"/>
  <sortState ref="A3:J19">
    <sortCondition ref="A3"/>
  </sortState>
  <tableColumns count="10">
    <tableColumn id="1" name="Columna1" dataDxfId="116"/>
    <tableColumn id="14" name="Dia" dataDxfId="115"/>
    <tableColumn id="2" name="FECHA" dataDxfId="114"/>
    <tableColumn id="3" name="LLEGADA INSTALACION" dataDxfId="113"/>
    <tableColumn id="4" name="SALIDA INSTALACION" dataDxfId="112"/>
    <tableColumn id="5" name="INICIO ACT.     AM" dataDxfId="111"/>
    <tableColumn id="6" name="TERMINO ACT. AM" dataDxfId="110"/>
    <tableColumn id="12" name="ALMUERZO"/>
    <tableColumn id="7" name="INICIO ACTIVIDADES PM" dataDxfId="109"/>
    <tableColumn id="13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showGridLines="0" zoomScale="60" zoomScaleNormal="60" workbookViewId="0">
      <selection activeCell="K5" sqref="K5"/>
    </sheetView>
  </sheetViews>
  <sheetFormatPr baseColWidth="10" defaultRowHeight="15.6" x14ac:dyDescent="0.3"/>
  <cols>
    <col min="1" max="1" width="11.19921875" customWidth="1"/>
    <col min="2" max="2" width="7.69921875" customWidth="1"/>
    <col min="3" max="3" width="13.59765625" customWidth="1"/>
    <col min="4" max="4" width="14.59765625" customWidth="1"/>
    <col min="5" max="5" width="14.3984375" customWidth="1"/>
    <col min="6" max="6" width="15.8984375" customWidth="1"/>
    <col min="7" max="7" width="18.8984375" customWidth="1"/>
    <col min="8" max="9" width="14.59765625" customWidth="1"/>
    <col min="10" max="10" width="15.5" customWidth="1"/>
    <col min="11" max="11" width="33.69921875" customWidth="1"/>
    <col min="12" max="12" width="15.3984375" customWidth="1"/>
    <col min="13" max="14" width="11.19921875" customWidth="1"/>
    <col min="15" max="15" width="17.09765625" bestFit="1" customWidth="1"/>
    <col min="16" max="16" width="15.19921875" bestFit="1" customWidth="1"/>
    <col min="17" max="17" width="16.3984375" customWidth="1"/>
    <col min="18" max="18" width="19.19921875" customWidth="1"/>
    <col min="19" max="20" width="16.09765625" customWidth="1"/>
    <col min="21" max="21" width="18.8984375" bestFit="1" customWidth="1"/>
    <col min="22" max="22" width="14.19921875" customWidth="1"/>
    <col min="23" max="29" width="13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49</v>
      </c>
      <c r="B3" s="12" t="s">
        <v>37</v>
      </c>
      <c r="C3" s="4">
        <v>44886</v>
      </c>
      <c r="D3" s="37">
        <v>0.33680555555555558</v>
      </c>
      <c r="E3" s="37">
        <v>0.36736111111111108</v>
      </c>
      <c r="F3" s="37">
        <v>0.38125000000000003</v>
      </c>
      <c r="G3" s="37">
        <v>0.61249999999999993</v>
      </c>
      <c r="H3" s="37">
        <v>0.61805555555555558</v>
      </c>
      <c r="I3" s="37">
        <v>0.64236111111111105</v>
      </c>
      <c r="J3" s="46">
        <v>0.65972222222222199</v>
      </c>
      <c r="K3" s="47"/>
      <c r="L3" s="48"/>
      <c r="M3" s="48"/>
      <c r="N3" s="49" t="s">
        <v>15</v>
      </c>
      <c r="O3" s="4">
        <f>Tabla5[[#This Row],[FECHA]]</f>
        <v>44886</v>
      </c>
      <c r="P3" s="7">
        <f>D3</f>
        <v>0.33680555555555558</v>
      </c>
      <c r="Q3" s="7">
        <f>E3-D3</f>
        <v>3.0555555555555503E-2</v>
      </c>
      <c r="R3" s="7">
        <f>F3-E3</f>
        <v>1.3888888888888951E-2</v>
      </c>
      <c r="S3" s="7">
        <f>G3-F3</f>
        <v>0.2312499999999999</v>
      </c>
      <c r="T3" s="7">
        <f>+Tabla5[[#This Row],[ALMUERZO]]-Tabla5[[#This Row],[TERMINO ACT. AM]]</f>
        <v>5.5555555555556468E-3</v>
      </c>
      <c r="U3" s="7">
        <f>+Tabla5[[#This Row],[INICIO ACTIVIDADES PM]]-Tabla5[[#This Row],[ALMUERZO]]</f>
        <v>2.4305555555555469E-2</v>
      </c>
      <c r="V3" s="7">
        <f>+Tabla5[[#This Row],[TERMINO ACTIVIDADES PM]]-Tabla5[[#This Row],[INICIO ACTIVIDADES PM]]</f>
        <v>1.7361111111110938E-2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49</v>
      </c>
      <c r="B4" s="12" t="s">
        <v>26</v>
      </c>
      <c r="C4" s="4">
        <v>44887</v>
      </c>
      <c r="D4" s="37">
        <v>0.4236111111111111</v>
      </c>
      <c r="E4" s="37">
        <v>0.43402777777777773</v>
      </c>
      <c r="F4" s="37">
        <v>0.44722222222222219</v>
      </c>
      <c r="G4" s="37">
        <v>0.60972222222222217</v>
      </c>
      <c r="H4" s="37">
        <v>0.61805555555555558</v>
      </c>
      <c r="I4" s="37">
        <v>0.64583333333333337</v>
      </c>
      <c r="J4" s="46">
        <v>0.65972222222222199</v>
      </c>
      <c r="K4" s="47" t="s">
        <v>129</v>
      </c>
      <c r="M4" s="5"/>
      <c r="N4" s="5" t="s">
        <v>16</v>
      </c>
      <c r="O4" s="4">
        <f>Tabla5[[#This Row],[FECHA]]</f>
        <v>44887</v>
      </c>
      <c r="P4" s="7">
        <f>D4</f>
        <v>0.4236111111111111</v>
      </c>
      <c r="Q4" s="7">
        <f t="shared" ref="Q4:Q7" si="0">E4-D4</f>
        <v>1.041666666666663E-2</v>
      </c>
      <c r="R4" s="7">
        <f t="shared" ref="R4:R7" si="1">F4-E4</f>
        <v>1.3194444444444453E-2</v>
      </c>
      <c r="S4" s="7">
        <f t="shared" ref="S4:S7" si="2">G4-F4</f>
        <v>0.16249999999999998</v>
      </c>
      <c r="T4" s="7">
        <f>+Tabla5[[#This Row],[ALMUERZO]]-Tabla5[[#This Row],[TERMINO ACT. AM]]</f>
        <v>8.3333333333334147E-3</v>
      </c>
      <c r="U4" s="7">
        <f>+Tabla5[[#This Row],[INICIO ACTIVIDADES PM]]-Tabla5[[#This Row],[ALMUERZO]]</f>
        <v>2.777777777777779E-2</v>
      </c>
      <c r="V4" s="7">
        <f>+Tabla5[[#This Row],[TERMINO ACTIVIDADES PM]]-Tabla5[[#This Row],[INICIO ACTIVIDADES PM]]</f>
        <v>1.3888888888888618E-2</v>
      </c>
      <c r="W4" s="3">
        <f t="shared" ref="W4:W7" si="3">+$D$1</f>
        <v>0.33333333333333331</v>
      </c>
      <c r="X4" s="3">
        <f t="shared" ref="X4:X7" si="4">+$E$1</f>
        <v>0.35416666666666669</v>
      </c>
      <c r="Y4" s="3">
        <f t="shared" ref="Y4:Y7" si="5">+$F$1</f>
        <v>0.375</v>
      </c>
      <c r="Z4" s="3">
        <f t="shared" ref="Z4:Z7" si="6">+$G$1</f>
        <v>0.59375</v>
      </c>
      <c r="AA4" s="3">
        <f t="shared" ref="AA4:AA7" si="7">+$H$1</f>
        <v>0.61458333333333337</v>
      </c>
      <c r="AB4" s="3">
        <f t="shared" ref="AB4:AB7" si="8">+$I$1</f>
        <v>0.63541666666666663</v>
      </c>
      <c r="AC4" s="3">
        <f t="shared" ref="AC4:AC7" si="9">+$J$1</f>
        <v>0.66666666666666663</v>
      </c>
    </row>
    <row r="5" spans="1:29" x14ac:dyDescent="0.3">
      <c r="A5" s="12" t="s">
        <v>49</v>
      </c>
      <c r="B5" s="12" t="s">
        <v>27</v>
      </c>
      <c r="C5" s="4">
        <v>44888</v>
      </c>
      <c r="D5" s="37">
        <v>0.34027777777777773</v>
      </c>
      <c r="E5" s="37">
        <v>0.3611111111111111</v>
      </c>
      <c r="F5" s="37">
        <v>0.3840277777777778</v>
      </c>
      <c r="G5" s="37">
        <v>0.61736111111111114</v>
      </c>
      <c r="H5" s="37">
        <v>0.62152777777777779</v>
      </c>
      <c r="I5" s="37">
        <v>0.64930555555555558</v>
      </c>
      <c r="J5" s="46">
        <v>0.65972222222222199</v>
      </c>
      <c r="K5" s="47"/>
      <c r="M5" s="5"/>
      <c r="N5" s="5" t="s">
        <v>16</v>
      </c>
      <c r="O5" s="4">
        <f>Tabla5[[#This Row],[FECHA]]</f>
        <v>44888</v>
      </c>
      <c r="P5" s="7">
        <f>D5</f>
        <v>0.34027777777777773</v>
      </c>
      <c r="Q5" s="7">
        <f t="shared" si="0"/>
        <v>2.083333333333337E-2</v>
      </c>
      <c r="R5" s="7">
        <f t="shared" si="1"/>
        <v>2.2916666666666696E-2</v>
      </c>
      <c r="S5" s="7">
        <f t="shared" si="2"/>
        <v>0.23333333333333334</v>
      </c>
      <c r="T5" s="7">
        <f>+Tabla5[[#This Row],[ALMUERZO]]-Tabla5[[#This Row],[TERMINO ACT. AM]]</f>
        <v>4.1666666666666519E-3</v>
      </c>
      <c r="U5" s="7">
        <f>+Tabla5[[#This Row],[INICIO ACTIVIDADES PM]]-Tabla5[[#This Row],[ALMUERZO]]</f>
        <v>2.777777777777779E-2</v>
      </c>
      <c r="V5" s="7">
        <f>+Tabla5[[#This Row],[TERMINO ACTIVIDADES PM]]-Tabla5[[#This Row],[INICIO ACTIVIDADES PM]]</f>
        <v>1.0416666666666408E-2</v>
      </c>
      <c r="W5" s="3">
        <f t="shared" si="3"/>
        <v>0.33333333333333331</v>
      </c>
      <c r="X5" s="3">
        <f t="shared" si="4"/>
        <v>0.35416666666666669</v>
      </c>
      <c r="Y5" s="3">
        <f t="shared" si="5"/>
        <v>0.375</v>
      </c>
      <c r="Z5" s="3">
        <f t="shared" si="6"/>
        <v>0.59375</v>
      </c>
      <c r="AA5" s="3">
        <f t="shared" si="7"/>
        <v>0.61458333333333337</v>
      </c>
      <c r="AB5" s="3">
        <f t="shared" si="8"/>
        <v>0.63541666666666663</v>
      </c>
      <c r="AC5" s="3">
        <f t="shared" si="9"/>
        <v>0.66666666666666663</v>
      </c>
    </row>
    <row r="6" spans="1:29" x14ac:dyDescent="0.3">
      <c r="A6" s="12" t="s">
        <v>49</v>
      </c>
      <c r="B6" s="12" t="s">
        <v>28</v>
      </c>
      <c r="C6" s="4">
        <v>44889</v>
      </c>
      <c r="D6" s="37">
        <v>0.33680555555555558</v>
      </c>
      <c r="E6" s="37">
        <v>0.36458333333333331</v>
      </c>
      <c r="F6" s="37">
        <v>0.38194444444444442</v>
      </c>
      <c r="G6" s="37">
        <v>0.61319444444444449</v>
      </c>
      <c r="H6" s="37">
        <v>0.61805555555555558</v>
      </c>
      <c r="I6" s="37">
        <v>0.64930555555555558</v>
      </c>
      <c r="J6" s="46">
        <v>0.65972222222222199</v>
      </c>
      <c r="K6" s="47"/>
      <c r="M6" s="5"/>
      <c r="N6" s="5" t="s">
        <v>17</v>
      </c>
      <c r="O6" s="4">
        <f>Tabla5[[#This Row],[FECHA]]</f>
        <v>44889</v>
      </c>
      <c r="P6" s="7">
        <f>D6</f>
        <v>0.33680555555555558</v>
      </c>
      <c r="Q6" s="7">
        <f t="shared" si="0"/>
        <v>2.7777777777777735E-2</v>
      </c>
      <c r="R6" s="7">
        <f t="shared" si="1"/>
        <v>1.7361111111111105E-2</v>
      </c>
      <c r="S6" s="7">
        <f t="shared" si="2"/>
        <v>0.23125000000000007</v>
      </c>
      <c r="T6" s="7">
        <f>+Tabla5[[#This Row],[ALMUERZO]]-Tabla5[[#This Row],[TERMINO ACT. AM]]</f>
        <v>4.8611111111110938E-3</v>
      </c>
      <c r="U6" s="7">
        <f>+Tabla5[[#This Row],[INICIO ACTIVIDADES PM]]-Tabla5[[#This Row],[ALMUERZO]]</f>
        <v>3.125E-2</v>
      </c>
      <c r="V6" s="7">
        <f>+Tabla5[[#This Row],[TERMINO ACTIVIDADES PM]]-Tabla5[[#This Row],[INICIO ACTIVIDADES PM]]</f>
        <v>1.0416666666666408E-2</v>
      </c>
      <c r="W6" s="3">
        <f t="shared" si="3"/>
        <v>0.33333333333333331</v>
      </c>
      <c r="X6" s="3">
        <f t="shared" si="4"/>
        <v>0.35416666666666669</v>
      </c>
      <c r="Y6" s="3">
        <f t="shared" si="5"/>
        <v>0.375</v>
      </c>
      <c r="Z6" s="3">
        <f t="shared" si="6"/>
        <v>0.59375</v>
      </c>
      <c r="AA6" s="3">
        <f t="shared" si="7"/>
        <v>0.61458333333333337</v>
      </c>
      <c r="AB6" s="3">
        <f t="shared" si="8"/>
        <v>0.63541666666666663</v>
      </c>
      <c r="AC6" s="3">
        <f t="shared" si="9"/>
        <v>0.66666666666666663</v>
      </c>
    </row>
    <row r="7" spans="1:29" x14ac:dyDescent="0.3">
      <c r="A7" s="12" t="s">
        <v>49</v>
      </c>
      <c r="B7" s="12" t="s">
        <v>38</v>
      </c>
      <c r="C7" s="4">
        <v>44890</v>
      </c>
      <c r="D7" s="37">
        <v>0.33680555555555558</v>
      </c>
      <c r="E7" s="37">
        <v>0.36527777777777781</v>
      </c>
      <c r="F7" s="37">
        <v>0.37986111111111115</v>
      </c>
      <c r="G7" s="37">
        <v>0.61527777777777781</v>
      </c>
      <c r="H7" s="37">
        <v>0.62152777777777779</v>
      </c>
      <c r="I7" s="37">
        <v>0.64583333333333337</v>
      </c>
      <c r="J7" s="46">
        <v>0.65972222222222221</v>
      </c>
      <c r="K7" s="47"/>
      <c r="M7" s="5"/>
      <c r="N7" s="5" t="s">
        <v>18</v>
      </c>
      <c r="O7" s="4">
        <f>Tabla5[[#This Row],[FECHA]]</f>
        <v>44890</v>
      </c>
      <c r="P7" s="7">
        <f>D7</f>
        <v>0.33680555555555558</v>
      </c>
      <c r="Q7" s="7">
        <f t="shared" si="0"/>
        <v>2.8472222222222232E-2</v>
      </c>
      <c r="R7" s="7">
        <f t="shared" si="1"/>
        <v>1.4583333333333337E-2</v>
      </c>
      <c r="S7" s="7">
        <f t="shared" si="2"/>
        <v>0.23541666666666666</v>
      </c>
      <c r="T7" s="7">
        <f>+Tabla5[[#This Row],[ALMUERZO]]-Tabla5[[#This Row],[TERMINO ACT. AM]]</f>
        <v>6.2499999999999778E-3</v>
      </c>
      <c r="U7" s="7">
        <f>+Tabla5[[#This Row],[INICIO ACTIVIDADES PM]]-Tabla5[[#This Row],[ALMUERZO]]</f>
        <v>2.430555555555558E-2</v>
      </c>
      <c r="V7" s="7">
        <f>+Tabla5[[#This Row],[TERMINO ACTIVIDADES PM]]-Tabla5[[#This Row],[INICIO ACTIVIDADES PM]]</f>
        <v>1.388888888888884E-2</v>
      </c>
      <c r="W7" s="3">
        <f t="shared" si="3"/>
        <v>0.33333333333333331</v>
      </c>
      <c r="X7" s="3">
        <f t="shared" si="4"/>
        <v>0.35416666666666669</v>
      </c>
      <c r="Y7" s="3">
        <f t="shared" si="5"/>
        <v>0.375</v>
      </c>
      <c r="Z7" s="3">
        <f t="shared" si="6"/>
        <v>0.59375</v>
      </c>
      <c r="AA7" s="3">
        <f t="shared" si="7"/>
        <v>0.61458333333333337</v>
      </c>
      <c r="AB7" s="3">
        <f t="shared" si="8"/>
        <v>0.63541666666666663</v>
      </c>
      <c r="AC7" s="3">
        <f t="shared" si="9"/>
        <v>0.66666666666666663</v>
      </c>
    </row>
    <row r="8" spans="1:29" x14ac:dyDescent="0.3">
      <c r="A8" s="11"/>
      <c r="B8" s="11"/>
      <c r="C8" s="4">
        <v>44891</v>
      </c>
      <c r="D8" s="39"/>
      <c r="E8" s="45"/>
      <c r="F8" s="45"/>
      <c r="G8" s="45"/>
      <c r="H8" s="45"/>
      <c r="I8" s="45"/>
      <c r="J8" s="45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4">
        <v>44892</v>
      </c>
      <c r="D9" s="11"/>
      <c r="E9" s="11"/>
      <c r="F9" s="11"/>
      <c r="G9" s="11"/>
      <c r="H9" s="11"/>
      <c r="I9" s="45"/>
      <c r="J9" s="45"/>
      <c r="K9" s="38"/>
      <c r="M9" s="5">
        <f>Tabla5[[#This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37"/>
      <c r="J10" s="37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37"/>
      <c r="J11" s="37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37"/>
      <c r="J12" s="37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34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3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3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0.24861111111111084</v>
      </c>
      <c r="H16" s="23"/>
      <c r="I16" s="28"/>
      <c r="J16" s="28"/>
      <c r="K16" s="33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0.1763888888888886</v>
      </c>
      <c r="H17" s="23"/>
      <c r="I17" s="28"/>
      <c r="J17" s="28"/>
      <c r="K17" s="33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0.24374999999999974</v>
      </c>
      <c r="H18" s="23"/>
      <c r="I18" s="28"/>
      <c r="J18" s="28"/>
      <c r="K18" s="33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0.24166666666666647</v>
      </c>
      <c r="H19" s="23"/>
      <c r="I19" s="28"/>
      <c r="J19" s="28"/>
      <c r="K19" s="33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0.2493055555555555</v>
      </c>
      <c r="H20" s="23"/>
      <c r="I20" s="28"/>
      <c r="J20" s="28"/>
      <c r="K20" s="33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0.23194444444444423</v>
      </c>
      <c r="H21" s="30"/>
      <c r="I21" s="28"/>
      <c r="J21" s="28"/>
      <c r="K21" s="33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0.92777777777777692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x14ac:dyDescent="0.3">
      <c r="T28" s="3"/>
    </row>
    <row r="29" spans="1:20" ht="15.6" customHeight="1" x14ac:dyDescent="0.3">
      <c r="H29" s="177" t="s">
        <v>105</v>
      </c>
      <c r="I29" s="178" t="s">
        <v>103</v>
      </c>
      <c r="T29" s="3"/>
    </row>
    <row r="30" spans="1:20" ht="15.6" customHeight="1" x14ac:dyDescent="0.3">
      <c r="H30" s="177"/>
      <c r="I30" s="179"/>
      <c r="T30" s="3"/>
    </row>
    <row r="31" spans="1:20" ht="15.6" customHeight="1" x14ac:dyDescent="0.3">
      <c r="H31" s="177"/>
      <c r="I31" s="179"/>
      <c r="T31" s="3"/>
    </row>
    <row r="32" spans="1:20" ht="15.6" customHeight="1" x14ac:dyDescent="0.3">
      <c r="H32" s="177"/>
      <c r="I32" s="180"/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16" sqref="I16"/>
    </sheetView>
  </sheetViews>
  <sheetFormatPr baseColWidth="10" defaultRowHeight="15.6" x14ac:dyDescent="0.3"/>
  <cols>
    <col min="6" max="6" width="17.69921875" customWidth="1"/>
    <col min="7" max="7" width="16.19921875" customWidth="1"/>
    <col min="11" max="11" width="18.3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44886</v>
      </c>
      <c r="D3" s="37">
        <v>0.3125</v>
      </c>
      <c r="E3" s="37">
        <v>0.33333333333333331</v>
      </c>
      <c r="F3" s="37">
        <v>0.36319444444444443</v>
      </c>
      <c r="G3" s="37">
        <v>0.54166666666666663</v>
      </c>
      <c r="H3" s="37">
        <v>0.54861111111111105</v>
      </c>
      <c r="I3" s="37">
        <v>0.57291666666666663</v>
      </c>
      <c r="J3" s="46">
        <v>0.65972222222222221</v>
      </c>
      <c r="K3" s="47" t="s">
        <v>91</v>
      </c>
      <c r="L3" s="53"/>
      <c r="M3" s="53"/>
      <c r="N3" s="57" t="s">
        <v>15</v>
      </c>
      <c r="O3" s="4">
        <v>44410</v>
      </c>
      <c r="P3" s="7">
        <f>D3</f>
        <v>0.3125</v>
      </c>
      <c r="Q3" s="7">
        <f>E3-D3</f>
        <v>2.0833333333333315E-2</v>
      </c>
      <c r="R3" s="7">
        <f>F3-E3</f>
        <v>2.9861111111111116E-2</v>
      </c>
      <c r="S3" s="7">
        <f>G3-F3</f>
        <v>0.1784722222222222</v>
      </c>
      <c r="T3" s="7">
        <f>+Tabla538394041[[#This Row],[ALMUERZO]]-Tabla538394041[[#This Row],[TERMINO ACT. AM]]</f>
        <v>6.9444444444444198E-3</v>
      </c>
      <c r="U3" s="7">
        <f>+Tabla538394041[[#This Row],[INICIO ACTIVIDADES PM]]-Tabla538394041[[#This Row],[ALMUERZO]]</f>
        <v>2.430555555555558E-2</v>
      </c>
      <c r="V3" s="7">
        <f>+Tabla538394041[[#This Row],[TERMINO ACTIVIDADES PM]]-Tabla538394041[[#This Row],[INICIO ACTIVIDADES PM]]</f>
        <v>8.680555555555558E-2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44887</v>
      </c>
      <c r="D4" s="37">
        <v>0.3888888888888889</v>
      </c>
      <c r="E4" s="37">
        <v>0.3972222222222222</v>
      </c>
      <c r="F4" s="37">
        <v>0.40763888888888888</v>
      </c>
      <c r="G4" s="37">
        <v>0.60416666666666663</v>
      </c>
      <c r="H4" s="37">
        <v>0.61111111111111105</v>
      </c>
      <c r="I4" s="37">
        <v>0.63541666666666663</v>
      </c>
      <c r="J4" s="46">
        <v>0.65625</v>
      </c>
      <c r="K4" s="47" t="s">
        <v>129</v>
      </c>
      <c r="M4" s="5"/>
      <c r="N4" s="5" t="s">
        <v>16</v>
      </c>
      <c r="O4" s="4">
        <v>44411</v>
      </c>
      <c r="P4" s="7">
        <f>D4</f>
        <v>0.3888888888888889</v>
      </c>
      <c r="Q4" s="7">
        <f t="shared" ref="Q4:Q7" si="0">E4-D4</f>
        <v>8.3333333333333037E-3</v>
      </c>
      <c r="R4" s="7">
        <f t="shared" ref="R4:S7" si="1">F4-E4</f>
        <v>1.0416666666666685E-2</v>
      </c>
      <c r="S4" s="7">
        <f t="shared" si="1"/>
        <v>0.19652777777777775</v>
      </c>
      <c r="T4" s="7">
        <f>+Tabla538394041[[#This Row],[ALMUERZO]]-Tabla538394041[[#This Row],[TERMINO ACT. AM]]</f>
        <v>6.9444444444444198E-3</v>
      </c>
      <c r="U4" s="7">
        <f>+Tabla538394041[[#This Row],[INICIO ACTIVIDADES PM]]-Tabla538394041[[#This Row],[ALMUERZO]]</f>
        <v>2.430555555555558E-2</v>
      </c>
      <c r="V4" s="7">
        <f>+Tabla538394041[[#This Row],[TERMINO ACTIVIDADES PM]]-Tabla538394041[[#This Row],[INICIO ACTIVIDADES PM]]</f>
        <v>2.083333333333337E-2</v>
      </c>
      <c r="W4" s="3">
        <f t="shared" ref="W4:W7" si="2">+$D$1</f>
        <v>0.33333333333333331</v>
      </c>
      <c r="X4" s="3">
        <f t="shared" ref="X4:X7" si="3">+$E$1</f>
        <v>0.35416666666666669</v>
      </c>
      <c r="Y4" s="3">
        <f t="shared" ref="Y4:Y7" si="4">+$F$1</f>
        <v>0.375</v>
      </c>
      <c r="Z4" s="3">
        <f t="shared" ref="Z4:Z7" si="5">+$G$1</f>
        <v>0.59375</v>
      </c>
      <c r="AA4" s="3">
        <f t="shared" ref="AA4:AA7" si="6">+$H$1</f>
        <v>0.61458333333333337</v>
      </c>
      <c r="AB4" s="3">
        <f t="shared" ref="AB4:AB7" si="7">+$I$1</f>
        <v>0.63541666666666663</v>
      </c>
      <c r="AC4" s="3">
        <f t="shared" ref="AC4:AC7" si="8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44888</v>
      </c>
      <c r="D5" s="37">
        <v>0.3125</v>
      </c>
      <c r="E5" s="37">
        <v>0.34027777777777773</v>
      </c>
      <c r="F5" s="37">
        <v>0.36944444444444446</v>
      </c>
      <c r="G5" s="37">
        <v>0.54166666666666663</v>
      </c>
      <c r="H5" s="37">
        <v>0.54861111111111105</v>
      </c>
      <c r="I5" s="37">
        <v>0.56944444444444442</v>
      </c>
      <c r="J5" s="46">
        <v>0.65625</v>
      </c>
      <c r="K5" s="47" t="s">
        <v>91</v>
      </c>
      <c r="M5" s="5"/>
      <c r="N5" s="5" t="s">
        <v>16</v>
      </c>
      <c r="O5" s="4">
        <v>44412</v>
      </c>
      <c r="P5" s="7">
        <f>D5</f>
        <v>0.3125</v>
      </c>
      <c r="Q5" s="7">
        <f t="shared" si="0"/>
        <v>2.7777777777777735E-2</v>
      </c>
      <c r="R5" s="7">
        <f t="shared" si="1"/>
        <v>2.916666666666673E-2</v>
      </c>
      <c r="S5" s="7">
        <f t="shared" si="1"/>
        <v>0.17222222222222217</v>
      </c>
      <c r="T5" s="7">
        <f>+Tabla538394041[[#This Row],[ALMUERZO]]-Tabla538394041[[#This Row],[TERMINO ACT. AM]]</f>
        <v>6.9444444444444198E-3</v>
      </c>
      <c r="U5" s="7">
        <f>+Tabla538394041[[#This Row],[INICIO ACTIVIDADES PM]]-Tabla538394041[[#This Row],[ALMUERZO]]</f>
        <v>2.083333333333337E-2</v>
      </c>
      <c r="V5" s="7">
        <f>+Tabla538394041[[#This Row],[TERMINO ACTIVIDADES PM]]-Tabla538394041[[#This Row],[INICIO ACTIVIDADES PM]]</f>
        <v>8.680555555555558E-2</v>
      </c>
      <c r="W5" s="3">
        <f t="shared" si="2"/>
        <v>0.33333333333333331</v>
      </c>
      <c r="X5" s="3">
        <f t="shared" si="3"/>
        <v>0.35416666666666669</v>
      </c>
      <c r="Y5" s="3">
        <f t="shared" si="4"/>
        <v>0.375</v>
      </c>
      <c r="Z5" s="3">
        <f t="shared" si="5"/>
        <v>0.59375</v>
      </c>
      <c r="AA5" s="3">
        <f t="shared" si="6"/>
        <v>0.61458333333333337</v>
      </c>
      <c r="AB5" s="3">
        <f t="shared" si="7"/>
        <v>0.63541666666666663</v>
      </c>
      <c r="AC5" s="3">
        <f t="shared" si="8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44889</v>
      </c>
      <c r="D6" s="37">
        <v>0.3125</v>
      </c>
      <c r="E6" s="37">
        <v>0.33333333333333331</v>
      </c>
      <c r="F6" s="37">
        <v>0.3576388888888889</v>
      </c>
      <c r="G6" s="37">
        <v>0.5</v>
      </c>
      <c r="H6" s="37">
        <v>0.50347222222222221</v>
      </c>
      <c r="I6" s="37">
        <v>0.52916666666666667</v>
      </c>
      <c r="J6" s="46">
        <v>0.65625</v>
      </c>
      <c r="K6" s="47" t="s">
        <v>91</v>
      </c>
      <c r="M6" s="5"/>
      <c r="N6" s="5" t="s">
        <v>17</v>
      </c>
      <c r="O6" s="4">
        <v>44413</v>
      </c>
      <c r="P6" s="7">
        <f>D6</f>
        <v>0.3125</v>
      </c>
      <c r="Q6" s="7">
        <f t="shared" si="0"/>
        <v>2.0833333333333315E-2</v>
      </c>
      <c r="R6" s="7">
        <f t="shared" si="1"/>
        <v>2.430555555555558E-2</v>
      </c>
      <c r="S6" s="7">
        <f t="shared" si="1"/>
        <v>0.1423611111111111</v>
      </c>
      <c r="T6" s="7">
        <f>+Tabla538394041[[#This Row],[ALMUERZO]]-Tabla538394041[[#This Row],[TERMINO ACT. AM]]</f>
        <v>3.4722222222222099E-3</v>
      </c>
      <c r="U6" s="7">
        <f>+Tabla538394041[[#This Row],[INICIO ACTIVIDADES PM]]-Tabla538394041[[#This Row],[ALMUERZO]]</f>
        <v>2.5694444444444464E-2</v>
      </c>
      <c r="V6" s="7">
        <f>+Tabla538394041[[#This Row],[TERMINO ACTIVIDADES PM]]-Tabla538394041[[#This Row],[INICIO ACTIVIDADES PM]]</f>
        <v>0.12708333333333333</v>
      </c>
      <c r="W6" s="3">
        <f t="shared" si="2"/>
        <v>0.33333333333333331</v>
      </c>
      <c r="X6" s="3">
        <f t="shared" si="3"/>
        <v>0.35416666666666669</v>
      </c>
      <c r="Y6" s="3">
        <f t="shared" si="4"/>
        <v>0.375</v>
      </c>
      <c r="Z6" s="3">
        <f t="shared" si="5"/>
        <v>0.59375</v>
      </c>
      <c r="AA6" s="3">
        <f t="shared" si="6"/>
        <v>0.61458333333333337</v>
      </c>
      <c r="AB6" s="3">
        <f t="shared" si="7"/>
        <v>0.63541666666666663</v>
      </c>
      <c r="AC6" s="3">
        <f t="shared" si="8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44890</v>
      </c>
      <c r="D7" s="37">
        <v>0.3125</v>
      </c>
      <c r="E7" s="37">
        <v>0.33333333333333331</v>
      </c>
      <c r="F7" s="37">
        <v>0.34722222222222227</v>
      </c>
      <c r="G7" s="37">
        <v>0.54166666666666663</v>
      </c>
      <c r="H7" s="37">
        <v>0.55208333333333337</v>
      </c>
      <c r="I7" s="37">
        <v>0.57361111111111118</v>
      </c>
      <c r="J7" s="46">
        <v>0.65625</v>
      </c>
      <c r="K7" s="47" t="s">
        <v>91</v>
      </c>
      <c r="M7" s="5"/>
      <c r="N7" s="5" t="s">
        <v>18</v>
      </c>
      <c r="O7" s="4">
        <v>44414</v>
      </c>
      <c r="P7" s="7">
        <f>D7</f>
        <v>0.3125</v>
      </c>
      <c r="Q7" s="7">
        <f t="shared" si="0"/>
        <v>2.0833333333333315E-2</v>
      </c>
      <c r="R7" s="7">
        <f t="shared" si="1"/>
        <v>1.3888888888888951E-2</v>
      </c>
      <c r="S7" s="7">
        <f t="shared" si="1"/>
        <v>0.19444444444444436</v>
      </c>
      <c r="T7" s="7">
        <f>+Tabla538394041[[#This Row],[ALMUERZO]]-Tabla538394041[[#This Row],[TERMINO ACT. AM]]</f>
        <v>1.0416666666666741E-2</v>
      </c>
      <c r="U7" s="7">
        <f>+Tabla538394041[[#This Row],[INICIO ACTIVIDADES PM]]-Tabla538394041[[#This Row],[ALMUERZO]]</f>
        <v>2.1527777777777812E-2</v>
      </c>
      <c r="V7" s="7">
        <f>+Tabla538394041[[#This Row],[TERMINO ACTIVIDADES PM]]-Tabla538394041[[#This Row],[INICIO ACTIVIDADES PM]]</f>
        <v>8.2638888888888817E-2</v>
      </c>
      <c r="W7" s="3">
        <f t="shared" si="2"/>
        <v>0.33333333333333331</v>
      </c>
      <c r="X7" s="3">
        <f t="shared" si="3"/>
        <v>0.35416666666666669</v>
      </c>
      <c r="Y7" s="3">
        <f t="shared" si="4"/>
        <v>0.375</v>
      </c>
      <c r="Z7" s="3">
        <f t="shared" si="5"/>
        <v>0.59375</v>
      </c>
      <c r="AA7" s="3">
        <f t="shared" si="6"/>
        <v>0.61458333333333337</v>
      </c>
      <c r="AB7" s="3">
        <f t="shared" si="7"/>
        <v>0.63541666666666663</v>
      </c>
      <c r="AC7" s="3">
        <f t="shared" si="8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84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0.26527777777777778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0.21736111111111112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0.25902777777777775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0.26944444444444443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0.27708333333333318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0.25763888888888886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1.0305555555555554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I28" s="177" t="s">
        <v>105</v>
      </c>
      <c r="J28" s="178" t="s">
        <v>103</v>
      </c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79"/>
      <c r="T30" s="3"/>
    </row>
    <row r="31" spans="1:20" ht="15.6" customHeight="1" x14ac:dyDescent="0.3">
      <c r="I31" s="177"/>
      <c r="J31" s="180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H11" sqref="H11"/>
    </sheetView>
  </sheetViews>
  <sheetFormatPr baseColWidth="10" defaultRowHeight="15.6" x14ac:dyDescent="0.3"/>
  <cols>
    <col min="6" max="6" width="16.3984375" customWidth="1"/>
    <col min="7" max="7" width="13" customWidth="1"/>
    <col min="20" max="20" width="12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44886</v>
      </c>
      <c r="D3" s="37">
        <v>0.64583333333333337</v>
      </c>
      <c r="E3" s="37">
        <v>0.67013888888888884</v>
      </c>
      <c r="F3" s="37">
        <v>0.6958333333333333</v>
      </c>
      <c r="G3" s="56">
        <v>0.83680555555555547</v>
      </c>
      <c r="H3" s="37">
        <v>0.85555555555555562</v>
      </c>
      <c r="I3" s="37">
        <v>0.88541666666666663</v>
      </c>
      <c r="J3" s="46">
        <v>0.98263888888888884</v>
      </c>
      <c r="K3" s="47"/>
      <c r="L3" s="53"/>
      <c r="M3" s="53"/>
      <c r="N3" s="57" t="s">
        <v>15</v>
      </c>
      <c r="O3" s="4">
        <f>Tabla53839404142[[#This Row],[FECHA]]</f>
        <v>44886</v>
      </c>
      <c r="P3" s="7">
        <f>D3</f>
        <v>0.64583333333333337</v>
      </c>
      <c r="Q3" s="7">
        <f>E3-D3</f>
        <v>2.4305555555555469E-2</v>
      </c>
      <c r="R3" s="7">
        <f>F3-E3</f>
        <v>2.5694444444444464E-2</v>
      </c>
      <c r="S3" s="7">
        <f>G3-F3</f>
        <v>0.14097222222222217</v>
      </c>
      <c r="T3" s="7">
        <f>+Tabla53839404142[[#This Row],[ALMUERZO]]-Tabla53839404142[[#This Row],[TERMINO ACT. AM]]</f>
        <v>1.8750000000000155E-2</v>
      </c>
      <c r="U3" s="7">
        <f>+Tabla53839404142[[#This Row],[INICIO ACTIVIDADES PM]]-Tabla53839404142[[#This Row],[ALMUERZO]]</f>
        <v>2.9861111111111005E-2</v>
      </c>
      <c r="V3" s="7">
        <f>+Tabla53839404142[[#This Row],[TERMINO ACTIVIDADES PM]]-Tabla53839404142[[#This Row],[INICIO ACTIVIDADES PM]]</f>
        <v>9.722222222222221E-2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44887</v>
      </c>
      <c r="D4" s="37">
        <v>0.64583333333333337</v>
      </c>
      <c r="E4" s="37">
        <v>0.65625</v>
      </c>
      <c r="F4" s="37">
        <v>0.68958333333333333</v>
      </c>
      <c r="G4" s="56">
        <v>0.80555555555555547</v>
      </c>
      <c r="H4" s="37">
        <v>0.8125</v>
      </c>
      <c r="I4" s="37">
        <v>0.84375</v>
      </c>
      <c r="J4" s="46">
        <v>0.97916666666666663</v>
      </c>
      <c r="K4" s="47"/>
      <c r="M4" s="5"/>
      <c r="N4" s="5" t="s">
        <v>16</v>
      </c>
      <c r="O4" s="4">
        <f>Tabla53839404142[[#This Row],[FECHA]]</f>
        <v>44887</v>
      </c>
      <c r="P4" s="7">
        <f>D4</f>
        <v>0.64583333333333337</v>
      </c>
      <c r="Q4" s="7">
        <f t="shared" ref="Q4:S7" si="0">E4-D4</f>
        <v>1.041666666666663E-2</v>
      </c>
      <c r="R4" s="7">
        <f t="shared" si="0"/>
        <v>3.3333333333333326E-2</v>
      </c>
      <c r="S4" s="7">
        <f t="shared" si="0"/>
        <v>0.11597222222222214</v>
      </c>
      <c r="T4" s="7">
        <f>+Tabla53839404142[[#This Row],[ALMUERZO]]-Tabla53839404142[[#This Row],[TERMINO ACT. AM]]</f>
        <v>6.9444444444445308E-3</v>
      </c>
      <c r="U4" s="7">
        <f>+Tabla53839404142[[#This Row],[INICIO ACTIVIDADES PM]]-Tabla53839404142[[#This Row],[ALMUERZO]]</f>
        <v>3.125E-2</v>
      </c>
      <c r="V4" s="7">
        <f>+Tabla53839404142[[#This Row],[TERMINO ACTIVIDADES PM]]-Tabla53839404142[[#This Row],[INICIO ACTIVIDADES PM]]</f>
        <v>0.13541666666666663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44888</v>
      </c>
      <c r="D5" s="37">
        <v>0.64583333333333337</v>
      </c>
      <c r="E5" s="37">
        <v>0.65972222222222221</v>
      </c>
      <c r="F5" s="37">
        <v>0.68333333333333324</v>
      </c>
      <c r="G5" s="56">
        <v>0.79652777777777783</v>
      </c>
      <c r="H5" s="37">
        <v>0.80555555555555547</v>
      </c>
      <c r="I5" s="37">
        <v>0.83680555555555547</v>
      </c>
      <c r="J5" s="46">
        <v>0.98611111111111116</v>
      </c>
      <c r="K5" s="47"/>
      <c r="M5" s="5"/>
      <c r="N5" s="5" t="s">
        <v>16</v>
      </c>
      <c r="O5" s="4">
        <f>Tabla53839404142[[#This Row],[FECHA]]</f>
        <v>44888</v>
      </c>
      <c r="P5" s="7">
        <f>D5</f>
        <v>0.64583333333333337</v>
      </c>
      <c r="Q5" s="7">
        <f t="shared" si="0"/>
        <v>1.388888888888884E-2</v>
      </c>
      <c r="R5" s="7">
        <f t="shared" si="0"/>
        <v>2.3611111111111027E-2</v>
      </c>
      <c r="S5" s="7">
        <f t="shared" si="0"/>
        <v>0.1131944444444446</v>
      </c>
      <c r="T5" s="7">
        <f>+Tabla53839404142[[#This Row],[ALMUERZO]]-Tabla53839404142[[#This Row],[TERMINO ACT. AM]]</f>
        <v>9.0277777777776347E-3</v>
      </c>
      <c r="U5" s="7">
        <f>+Tabla53839404142[[#This Row],[INICIO ACTIVIDADES PM]]-Tabla53839404142[[#This Row],[ALMUERZO]]</f>
        <v>3.125E-2</v>
      </c>
      <c r="V5" s="7">
        <f>+Tabla53839404142[[#This Row],[TERMINO ACTIVIDADES PM]]-Tabla53839404142[[#This Row],[INICIO ACTIVIDADES PM]]</f>
        <v>0.14930555555555569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44889</v>
      </c>
      <c r="D6" s="37">
        <v>0.64583333333333337</v>
      </c>
      <c r="E6" s="37">
        <v>0.66666666666666663</v>
      </c>
      <c r="F6" s="37">
        <v>0.6875</v>
      </c>
      <c r="G6" s="37">
        <v>0.81111111111111101</v>
      </c>
      <c r="H6" s="37">
        <v>0.81944444444444453</v>
      </c>
      <c r="I6" s="37">
        <v>0.84722222222222221</v>
      </c>
      <c r="J6" s="46">
        <v>0.98958333333333337</v>
      </c>
      <c r="K6" s="47"/>
      <c r="M6" s="5"/>
      <c r="N6" s="5" t="s">
        <v>17</v>
      </c>
      <c r="O6" s="4">
        <f>Tabla53839404142[[#This Row],[FECHA]]</f>
        <v>44889</v>
      </c>
      <c r="P6" s="7">
        <f>D6</f>
        <v>0.64583333333333337</v>
      </c>
      <c r="Q6" s="7">
        <f t="shared" si="0"/>
        <v>2.0833333333333259E-2</v>
      </c>
      <c r="R6" s="7">
        <f t="shared" si="0"/>
        <v>2.083333333333337E-2</v>
      </c>
      <c r="S6" s="7">
        <f t="shared" si="0"/>
        <v>0.12361111111111101</v>
      </c>
      <c r="T6" s="7">
        <f>+Tabla53839404142[[#This Row],[ALMUERZO]]-Tabla53839404142[[#This Row],[TERMINO ACT. AM]]</f>
        <v>8.3333333333335258E-3</v>
      </c>
      <c r="U6" s="7">
        <f>+Tabla53839404142[[#This Row],[INICIO ACTIVIDADES PM]]-Tabla53839404142[[#This Row],[ALMUERZO]]</f>
        <v>2.7777777777777679E-2</v>
      </c>
      <c r="V6" s="7">
        <f>+Tabla53839404142[[#This Row],[TERMINO ACTIVIDADES PM]]-Tabla53839404142[[#This Row],[INICIO ACTIVIDADES PM]]</f>
        <v>0.14236111111111116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44890</v>
      </c>
      <c r="D7" s="37">
        <v>0.64583333333333337</v>
      </c>
      <c r="E7" s="37">
        <v>0.67361111111111116</v>
      </c>
      <c r="F7" s="37">
        <v>0.69097222222222221</v>
      </c>
      <c r="G7" s="56">
        <v>0.84027777777777779</v>
      </c>
      <c r="H7" s="37">
        <v>0.85069444444444453</v>
      </c>
      <c r="I7" s="37">
        <v>0.87847222222222221</v>
      </c>
      <c r="J7" s="46">
        <v>0.98611111111111116</v>
      </c>
      <c r="K7" s="47"/>
      <c r="M7" s="5"/>
      <c r="N7" s="5" t="s">
        <v>18</v>
      </c>
      <c r="O7" s="4">
        <f>Tabla53839404142[[#This Row],[FECHA]]</f>
        <v>44890</v>
      </c>
      <c r="P7" s="7">
        <f>D7</f>
        <v>0.64583333333333337</v>
      </c>
      <c r="Q7" s="7">
        <f t="shared" si="0"/>
        <v>2.777777777777779E-2</v>
      </c>
      <c r="R7" s="7">
        <f t="shared" si="0"/>
        <v>1.7361111111111049E-2</v>
      </c>
      <c r="S7" s="7">
        <f t="shared" si="0"/>
        <v>0.14930555555555558</v>
      </c>
      <c r="T7" s="7">
        <f>+Tabla53839404142[[#This Row],[ALMUERZO]]-Tabla53839404142[[#This Row],[TERMINO ACT. AM]]</f>
        <v>1.0416666666666741E-2</v>
      </c>
      <c r="U7" s="7">
        <f>+Tabla53839404142[[#This Row],[INICIO ACTIVIDADES PM]]-Tabla53839404142[[#This Row],[ALMUERZO]]</f>
        <v>2.7777777777777679E-2</v>
      </c>
      <c r="V7" s="7">
        <f>+Tabla53839404142[[#This Row],[TERMINO ACTIVIDADES PM]]-Tabla53839404142[[#This Row],[INICIO ACTIVIDADES PM]]</f>
        <v>0.10763888888888895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Tabla53839404142[[#This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T10" s="3"/>
      <c r="X10" s="77"/>
      <c r="Y10" s="77"/>
      <c r="Z10" s="78"/>
      <c r="AA10" s="78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77"/>
      <c r="Y11" s="77"/>
      <c r="Z11" s="78"/>
      <c r="AA11" s="78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T12" s="3"/>
      <c r="X12" s="77"/>
      <c r="Y12" s="77"/>
      <c r="Z12" s="78"/>
      <c r="AA12" s="78"/>
      <c r="AB12" s="3"/>
      <c r="AC12" s="3"/>
    </row>
    <row r="13" spans="1:29" ht="16.2" thickBot="1" x14ac:dyDescent="0.35">
      <c r="A13" s="12"/>
      <c r="B13" s="12"/>
      <c r="C13" s="12"/>
      <c r="D13" s="37"/>
      <c r="E13" s="37"/>
      <c r="F13" s="37"/>
      <c r="G13" s="37"/>
      <c r="H13" s="37"/>
      <c r="I13" s="37"/>
      <c r="J13" s="46"/>
      <c r="K13" s="56"/>
      <c r="M13" s="5"/>
      <c r="N13" s="5"/>
      <c r="O13" s="4"/>
      <c r="T13" s="3"/>
      <c r="X13" s="77"/>
      <c r="Y13" s="77"/>
      <c r="Z13" s="78"/>
      <c r="AA13" s="78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77"/>
      <c r="Y14" s="77"/>
      <c r="Z14" s="78"/>
      <c r="AA14" s="78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85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0.23819444444444438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0.25138888888888877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0.26250000000000029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0.26597222222222217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0.25694444444444453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0.25500000000000006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1.0200000000000002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7" t="s">
        <v>105</v>
      </c>
      <c r="J27" s="178" t="s">
        <v>104</v>
      </c>
      <c r="T27" s="3"/>
    </row>
    <row r="28" spans="1:20" ht="15.6" customHeight="1" x14ac:dyDescent="0.3">
      <c r="I28" s="177"/>
      <c r="J28" s="179"/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8" sqref="I8"/>
    </sheetView>
  </sheetViews>
  <sheetFormatPr baseColWidth="10" defaultRowHeight="15.6" x14ac:dyDescent="0.3"/>
  <cols>
    <col min="6" max="6" width="15.69921875" customWidth="1"/>
    <col min="7" max="7" width="15.8984375" customWidth="1"/>
    <col min="11" max="11" width="17.296875" bestFit="1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100</v>
      </c>
      <c r="B3" s="12" t="s">
        <v>37</v>
      </c>
      <c r="C3" s="4">
        <f>+Tabla5[[#This Row],[FECHA]]</f>
        <v>44886</v>
      </c>
      <c r="D3" s="37">
        <v>0.3263888888888889</v>
      </c>
      <c r="E3" s="37">
        <v>0.34027777777777773</v>
      </c>
      <c r="F3" s="37">
        <v>0.34930555555555554</v>
      </c>
      <c r="G3" s="37">
        <v>0.52777777777777779</v>
      </c>
      <c r="H3" s="37">
        <v>0.53125</v>
      </c>
      <c r="I3" s="37">
        <v>0.55208333333333337</v>
      </c>
      <c r="J3" s="46">
        <v>0.65972222222222221</v>
      </c>
      <c r="K3" s="47"/>
      <c r="L3" s="53"/>
      <c r="M3" s="53"/>
      <c r="N3" s="57" t="s">
        <v>15</v>
      </c>
      <c r="O3" s="4">
        <f>Tabla5383940414243[[#This Row],[FECHA]]</f>
        <v>44886</v>
      </c>
      <c r="P3" s="7">
        <f>D3</f>
        <v>0.3263888888888889</v>
      </c>
      <c r="Q3" s="7">
        <f>E3-D3</f>
        <v>1.388888888888884E-2</v>
      </c>
      <c r="R3" s="7">
        <f>F3-E3</f>
        <v>9.0277777777778012E-3</v>
      </c>
      <c r="S3" s="7">
        <f>G3-F3</f>
        <v>0.17847222222222225</v>
      </c>
      <c r="T3" s="7">
        <f>+Tabla5383940414243[[#This Row],[ALMUERZO]]-Tabla5383940414243[[#This Row],[TERMINO ACT. AM]]</f>
        <v>3.4722222222222099E-3</v>
      </c>
      <c r="U3" s="7">
        <f>+Tabla5383940414243[[#This Row],[INICIO ACTIVIDADES PM]]-Tabla5383940414243[[#This Row],[ALMUERZO]]</f>
        <v>2.083333333333337E-2</v>
      </c>
      <c r="V3" s="7">
        <f>+Tabla5383940414243[[#This Row],[TERMINO ACTIVIDADES PM]]-Tabla5383940414243[[#This Row],[INICIO ACTIVIDADES PM]]</f>
        <v>0.10763888888888884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100</v>
      </c>
      <c r="B4" s="12" t="s">
        <v>26</v>
      </c>
      <c r="C4" s="4">
        <f>+Tabla5[[#This Row],[FECHA]]</f>
        <v>44887</v>
      </c>
      <c r="D4" s="37">
        <v>0.39444444444444443</v>
      </c>
      <c r="E4" s="37">
        <v>0.40069444444444446</v>
      </c>
      <c r="F4" s="37">
        <v>0.41319444444444442</v>
      </c>
      <c r="G4" s="37">
        <v>0.59027777777777779</v>
      </c>
      <c r="H4" s="37">
        <v>0.59375</v>
      </c>
      <c r="I4" s="37">
        <v>0.62152777777777779</v>
      </c>
      <c r="J4" s="46">
        <v>0.66319444444444442</v>
      </c>
      <c r="K4" s="47" t="s">
        <v>129</v>
      </c>
      <c r="M4" s="5"/>
      <c r="N4" s="5" t="s">
        <v>16</v>
      </c>
      <c r="O4" s="4">
        <f>Tabla5383940414243[[#This Row],[FECHA]]</f>
        <v>44887</v>
      </c>
      <c r="P4" s="7">
        <f>D4</f>
        <v>0.39444444444444443</v>
      </c>
      <c r="Q4" s="7">
        <f t="shared" ref="Q4:S7" si="0">E4-D4</f>
        <v>6.2500000000000333E-3</v>
      </c>
      <c r="R4" s="7">
        <f t="shared" si="0"/>
        <v>1.2499999999999956E-2</v>
      </c>
      <c r="S4" s="7">
        <f t="shared" si="0"/>
        <v>0.17708333333333337</v>
      </c>
      <c r="T4" s="7">
        <f>+Tabla5383940414243[[#This Row],[ALMUERZO]]-Tabla5383940414243[[#This Row],[TERMINO ACT. AM]]</f>
        <v>3.4722222222222099E-3</v>
      </c>
      <c r="U4" s="7">
        <f>+Tabla5383940414243[[#This Row],[INICIO ACTIVIDADES PM]]-Tabla5383940414243[[#This Row],[ALMUERZO]]</f>
        <v>2.777777777777779E-2</v>
      </c>
      <c r="V4" s="7">
        <f>+Tabla5383940414243[[#This Row],[TERMINO ACTIVIDADES PM]]-Tabla5383940414243[[#This Row],[INICIO ACTIVIDADES PM]]</f>
        <v>4.166666666666663E-2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100</v>
      </c>
      <c r="B5" s="12" t="s">
        <v>27</v>
      </c>
      <c r="C5" s="4">
        <f>+Tabla5[[#This Row],[FECHA]]</f>
        <v>44888</v>
      </c>
      <c r="D5" s="37">
        <v>0.32291666666666669</v>
      </c>
      <c r="E5" s="37">
        <v>0.34027777777777773</v>
      </c>
      <c r="F5" s="37">
        <v>0.34583333333333338</v>
      </c>
      <c r="G5" s="37">
        <v>0.54513888888888895</v>
      </c>
      <c r="H5" s="37">
        <v>0.54861111111111105</v>
      </c>
      <c r="I5" s="37">
        <v>0.57291666666666663</v>
      </c>
      <c r="J5" s="46">
        <v>0.65972222222222199</v>
      </c>
      <c r="K5" s="47"/>
      <c r="M5" s="5"/>
      <c r="N5" s="5" t="s">
        <v>16</v>
      </c>
      <c r="O5" s="4">
        <f>Tabla5383940414243[[#This Row],[FECHA]]</f>
        <v>44888</v>
      </c>
      <c r="P5" s="7">
        <f>D5</f>
        <v>0.32291666666666669</v>
      </c>
      <c r="Q5" s="7">
        <f t="shared" si="0"/>
        <v>1.7361111111111049E-2</v>
      </c>
      <c r="R5" s="7">
        <f t="shared" si="0"/>
        <v>5.5555555555556468E-3</v>
      </c>
      <c r="S5" s="7">
        <f t="shared" si="0"/>
        <v>0.19930555555555557</v>
      </c>
      <c r="T5" s="7">
        <f>+Tabla5383940414243[[#This Row],[ALMUERZO]]-Tabla5383940414243[[#This Row],[TERMINO ACT. AM]]</f>
        <v>3.4722222222220989E-3</v>
      </c>
      <c r="U5" s="7">
        <f>+Tabla5383940414243[[#This Row],[INICIO ACTIVIDADES PM]]-Tabla5383940414243[[#This Row],[ALMUERZO]]</f>
        <v>2.430555555555558E-2</v>
      </c>
      <c r="V5" s="7">
        <f>+Tabla5383940414243[[#This Row],[TERMINO ACTIVIDADES PM]]-Tabla5383940414243[[#This Row],[INICIO ACTIVIDADES PM]]</f>
        <v>8.6805555555555358E-2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100</v>
      </c>
      <c r="B6" s="12" t="s">
        <v>28</v>
      </c>
      <c r="C6" s="4">
        <f>+Tabla5[[#This Row],[FECHA]]</f>
        <v>44889</v>
      </c>
      <c r="D6" s="37">
        <v>0.3298611111111111</v>
      </c>
      <c r="E6" s="37">
        <v>0.34375</v>
      </c>
      <c r="F6" s="37">
        <v>0.35069444444444442</v>
      </c>
      <c r="G6" s="37">
        <v>0.53125</v>
      </c>
      <c r="H6" s="37">
        <v>0.53819444444444442</v>
      </c>
      <c r="I6" s="37">
        <v>0.5625</v>
      </c>
      <c r="J6" s="46">
        <v>0.65972222222222199</v>
      </c>
      <c r="K6" s="47"/>
      <c r="M6" s="5"/>
      <c r="N6" s="5" t="s">
        <v>17</v>
      </c>
      <c r="O6" s="4">
        <f>Tabla5383940414243[[#This Row],[FECHA]]</f>
        <v>44889</v>
      </c>
      <c r="P6" s="7">
        <f>D6</f>
        <v>0.3298611111111111</v>
      </c>
      <c r="Q6" s="7">
        <f t="shared" si="0"/>
        <v>1.3888888888888895E-2</v>
      </c>
      <c r="R6" s="7">
        <f t="shared" si="0"/>
        <v>6.9444444444444198E-3</v>
      </c>
      <c r="S6" s="7">
        <f t="shared" si="0"/>
        <v>0.18055555555555558</v>
      </c>
      <c r="T6" s="7">
        <f>+Tabla5383940414243[[#This Row],[ALMUERZO]]-Tabla5383940414243[[#This Row],[TERMINO ACT. AM]]</f>
        <v>6.9444444444444198E-3</v>
      </c>
      <c r="U6" s="7">
        <f>+Tabla5383940414243[[#This Row],[INICIO ACTIVIDADES PM]]-Tabla5383940414243[[#This Row],[ALMUERZO]]</f>
        <v>2.430555555555558E-2</v>
      </c>
      <c r="V6" s="7">
        <f>+Tabla5383940414243[[#This Row],[TERMINO ACTIVIDADES PM]]-Tabla5383940414243[[#This Row],[INICIO ACTIVIDADES PM]]</f>
        <v>9.7222222222221988E-2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100</v>
      </c>
      <c r="B7" s="12" t="s">
        <v>38</v>
      </c>
      <c r="C7" s="4">
        <f>+Tabla5[[#This Row],[FECHA]]</f>
        <v>44890</v>
      </c>
      <c r="D7" s="37">
        <v>0.31597222222222221</v>
      </c>
      <c r="E7" s="37">
        <v>0.34027777777777773</v>
      </c>
      <c r="F7" s="37">
        <v>0.34375</v>
      </c>
      <c r="G7" s="37">
        <v>0.5</v>
      </c>
      <c r="H7" s="37">
        <v>0.51041666666666663</v>
      </c>
      <c r="I7" s="37">
        <v>0.53263888888888888</v>
      </c>
      <c r="J7" s="46">
        <v>0.66319444444444442</v>
      </c>
      <c r="K7" s="47"/>
      <c r="M7" s="5"/>
      <c r="N7" s="5" t="s">
        <v>18</v>
      </c>
      <c r="O7" s="4">
        <f>Tabla5383940414243[[#This Row],[FECHA]]</f>
        <v>44890</v>
      </c>
      <c r="P7" s="7">
        <f>D7</f>
        <v>0.31597222222222221</v>
      </c>
      <c r="Q7" s="7">
        <f t="shared" si="0"/>
        <v>2.4305555555555525E-2</v>
      </c>
      <c r="R7" s="7">
        <f t="shared" si="0"/>
        <v>3.4722222222222654E-3</v>
      </c>
      <c r="S7" s="7">
        <f t="shared" si="0"/>
        <v>0.15625</v>
      </c>
      <c r="T7" s="7">
        <f>+Tabla5383940414243[[#This Row],[ALMUERZO]]-Tabla5383940414243[[#This Row],[TERMINO ACT. AM]]</f>
        <v>1.041666666666663E-2</v>
      </c>
      <c r="U7" s="7">
        <f>+Tabla5383940414243[[#This Row],[INICIO ACTIVIDADES PM]]-Tabla5383940414243[[#This Row],[ALMUERZO]]</f>
        <v>2.2222222222222254E-2</v>
      </c>
      <c r="V7" s="7">
        <f>+Tabla5383940414243[[#This Row],[TERMINO ACTIVIDADES PM]]-Tabla5383940414243[[#This Row],[INICIO ACTIVIDADES PM]]</f>
        <v>0.13055555555555554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Tabla5383940414243[[#This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P10" s="7"/>
      <c r="Q10" s="77"/>
      <c r="R10" s="77"/>
      <c r="S10" s="77"/>
      <c r="T10" s="77"/>
      <c r="U10" s="77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P11" s="7"/>
      <c r="Q11" s="77"/>
      <c r="R11" s="77"/>
      <c r="S11" s="77"/>
      <c r="T11" s="77"/>
      <c r="U11" s="77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P12" s="7"/>
      <c r="Q12" s="77"/>
      <c r="R12" s="77"/>
      <c r="S12" s="77"/>
      <c r="T12" s="77"/>
      <c r="U12" s="77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P13" s="7"/>
      <c r="Q13" s="77"/>
      <c r="R13" s="77"/>
      <c r="S13" s="77"/>
      <c r="T13" s="77"/>
      <c r="U13" s="77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86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0.28611111111111109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0.21875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0.28611111111111093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0.27777777777777757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0.28680555555555554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0.27111111111111103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0.29166666666666669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0.9295238095238092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7" t="s">
        <v>105</v>
      </c>
      <c r="J27" s="178" t="s">
        <v>103</v>
      </c>
      <c r="T27" s="3"/>
    </row>
    <row r="28" spans="1:20" ht="15.6" customHeight="1" x14ac:dyDescent="0.3">
      <c r="I28" s="177"/>
      <c r="J28" s="179"/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H5" sqref="H5"/>
    </sheetView>
  </sheetViews>
  <sheetFormatPr baseColWidth="10" defaultRowHeight="15.6" x14ac:dyDescent="0.3"/>
  <cols>
    <col min="6" max="6" width="17.69921875" customWidth="1"/>
    <col min="7" max="7" width="16.69921875" customWidth="1"/>
    <col min="11" max="11" width="17.296875" bestFit="1" customWidth="1"/>
  </cols>
  <sheetData>
    <row r="1" spans="1:29" x14ac:dyDescent="0.3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87</v>
      </c>
      <c r="B3" s="12" t="s">
        <v>37</v>
      </c>
      <c r="C3" s="4">
        <f>+Tabla5[[#This Row],[FECHA]]</f>
        <v>44886</v>
      </c>
      <c r="D3" s="37">
        <v>0.33333333333333331</v>
      </c>
      <c r="E3" s="37">
        <v>0.34722222222222227</v>
      </c>
      <c r="F3" s="37">
        <v>0.3659722222222222</v>
      </c>
      <c r="G3" s="46">
        <v>0.60625000000000007</v>
      </c>
      <c r="H3" s="46">
        <v>0.61458333333333337</v>
      </c>
      <c r="I3" s="46">
        <v>0.64236111111111105</v>
      </c>
      <c r="J3" s="46">
        <v>0.65972222222222221</v>
      </c>
      <c r="K3" s="47"/>
      <c r="L3" s="53"/>
      <c r="M3" s="53"/>
      <c r="N3" s="57" t="s">
        <v>15</v>
      </c>
      <c r="O3" s="4">
        <f>Tabla538394041424344[[#This Row],[FECHA]]</f>
        <v>44886</v>
      </c>
      <c r="P3" s="7">
        <f>D3</f>
        <v>0.33333333333333331</v>
      </c>
      <c r="Q3" s="7">
        <f>E3-D3</f>
        <v>1.3888888888888951E-2</v>
      </c>
      <c r="R3" s="7">
        <f>F3-E3</f>
        <v>1.8749999999999933E-2</v>
      </c>
      <c r="S3" s="7">
        <f>G3-F3</f>
        <v>0.24027777777777787</v>
      </c>
      <c r="T3" s="7">
        <f>+Tabla538394041424344[[#This Row],[ALMUERZO]]-Tabla538394041424344[[#This Row],[TERMINO ACT. AM]]</f>
        <v>8.3333333333333037E-3</v>
      </c>
      <c r="U3" s="7">
        <f>+Tabla538394041424344[[#This Row],[INICIO ACTIVIDADES PM]]-Tabla538394041424344[[#This Row],[ALMUERZO]]</f>
        <v>2.7777777777777679E-2</v>
      </c>
      <c r="V3" s="7">
        <f>+Tabla538394041424344[[#This Row],[TERMINO ACTIVIDADES PM]]-Tabla538394041424344[[#This Row],[INICIO ACTIVIDADES PM]]</f>
        <v>1.736111111111116E-2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  <c r="AC3" s="3">
        <f>+$J$1</f>
        <v>0.97222222222222221</v>
      </c>
    </row>
    <row r="4" spans="1:29" x14ac:dyDescent="0.3">
      <c r="A4" s="12" t="s">
        <v>87</v>
      </c>
      <c r="B4" s="12" t="s">
        <v>26</v>
      </c>
      <c r="C4" s="4">
        <f>+Tabla5[[#This Row],[FECHA]]</f>
        <v>44887</v>
      </c>
      <c r="D4" s="37">
        <v>0.41319444444444442</v>
      </c>
      <c r="E4" s="37">
        <v>0.4236111111111111</v>
      </c>
      <c r="F4" s="37">
        <v>0.43194444444444446</v>
      </c>
      <c r="G4" s="46">
        <v>0.60416666666666663</v>
      </c>
      <c r="H4" s="46">
        <v>0.61249999999999993</v>
      </c>
      <c r="I4" s="46">
        <v>0.63541666666666663</v>
      </c>
      <c r="J4" s="46">
        <v>0.65972222222222221</v>
      </c>
      <c r="K4" s="47" t="s">
        <v>129</v>
      </c>
      <c r="M4" s="5"/>
      <c r="N4" s="5" t="s">
        <v>16</v>
      </c>
      <c r="O4" s="4">
        <f>Tabla538394041424344[[#This Row],[FECHA]]</f>
        <v>44887</v>
      </c>
      <c r="P4" s="7">
        <f>D4</f>
        <v>0.41319444444444442</v>
      </c>
      <c r="Q4" s="7">
        <f t="shared" ref="Q4:S7" si="0">E4-D4</f>
        <v>1.0416666666666685E-2</v>
      </c>
      <c r="R4" s="7">
        <f t="shared" si="0"/>
        <v>8.3333333333333592E-3</v>
      </c>
      <c r="S4" s="7">
        <f t="shared" si="0"/>
        <v>0.17222222222222217</v>
      </c>
      <c r="T4" s="7">
        <f>+Tabla538394041424344[[#This Row],[ALMUERZO]]-Tabla538394041424344[[#This Row],[TERMINO ACT. AM]]</f>
        <v>8.3333333333333037E-3</v>
      </c>
      <c r="U4" s="7">
        <f>+Tabla538394041424344[[#This Row],[INICIO ACTIVIDADES PM]]-Tabla538394041424344[[#This Row],[ALMUERZO]]</f>
        <v>2.2916666666666696E-2</v>
      </c>
      <c r="V4" s="7">
        <f>+Tabla538394041424344[[#This Row],[TERMINO ACTIVIDADES PM]]-Tabla538394041424344[[#This Row],[INICIO ACTIVIDADES PM]]</f>
        <v>2.430555555555558E-2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  <c r="AC4" s="3">
        <f t="shared" ref="AC4:AC7" si="7">+$J$1</f>
        <v>0.97222222222222221</v>
      </c>
    </row>
    <row r="5" spans="1:29" x14ac:dyDescent="0.3">
      <c r="A5" s="12" t="s">
        <v>87</v>
      </c>
      <c r="B5" s="12" t="s">
        <v>27</v>
      </c>
      <c r="C5" s="4">
        <f>+Tabla5[[#This Row],[FECHA]]</f>
        <v>44888</v>
      </c>
      <c r="D5" s="37">
        <v>0.33333333333333331</v>
      </c>
      <c r="E5" s="37">
        <v>0.34375</v>
      </c>
      <c r="F5" s="37">
        <v>0.36874999999999997</v>
      </c>
      <c r="G5" s="46">
        <v>0.61458333333333337</v>
      </c>
      <c r="H5" s="46">
        <v>0.625</v>
      </c>
      <c r="I5" s="46">
        <v>0.64930555555555558</v>
      </c>
      <c r="J5" s="46">
        <v>0.65972222222222221</v>
      </c>
      <c r="K5" s="47"/>
      <c r="M5" s="5"/>
      <c r="N5" s="5" t="s">
        <v>16</v>
      </c>
      <c r="O5" s="4">
        <f>Tabla538394041424344[[#This Row],[FECHA]]</f>
        <v>44888</v>
      </c>
      <c r="P5" s="7">
        <f>D5</f>
        <v>0.33333333333333331</v>
      </c>
      <c r="Q5" s="7">
        <f t="shared" si="0"/>
        <v>1.0416666666666685E-2</v>
      </c>
      <c r="R5" s="7">
        <f t="shared" si="0"/>
        <v>2.4999999999999967E-2</v>
      </c>
      <c r="S5" s="7">
        <f t="shared" si="0"/>
        <v>0.2458333333333334</v>
      </c>
      <c r="T5" s="7">
        <f>+Tabla538394041424344[[#This Row],[ALMUERZO]]-Tabla538394041424344[[#This Row],[TERMINO ACT. AM]]</f>
        <v>1.041666666666663E-2</v>
      </c>
      <c r="U5" s="7">
        <f>+Tabla538394041424344[[#This Row],[INICIO ACTIVIDADES PM]]-Tabla538394041424344[[#This Row],[ALMUERZO]]</f>
        <v>2.430555555555558E-2</v>
      </c>
      <c r="V5" s="7">
        <f>+Tabla538394041424344[[#This Row],[TERMINO ACTIVIDADES PM]]-Tabla538394041424344[[#This Row],[INICIO ACTIVIDADES PM]]</f>
        <v>1.041666666666663E-2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  <c r="AC5" s="3">
        <f t="shared" si="7"/>
        <v>0.97222222222222221</v>
      </c>
    </row>
    <row r="6" spans="1:29" x14ac:dyDescent="0.3">
      <c r="A6" s="12" t="s">
        <v>87</v>
      </c>
      <c r="B6" s="12" t="s">
        <v>28</v>
      </c>
      <c r="C6" s="4">
        <f>+Tabla5[[#This Row],[FECHA]]</f>
        <v>44889</v>
      </c>
      <c r="D6" s="37">
        <v>0.33333333333333331</v>
      </c>
      <c r="E6" s="37">
        <v>0.34722222222222227</v>
      </c>
      <c r="F6" s="37">
        <v>0.36944444444444446</v>
      </c>
      <c r="G6" s="46">
        <v>0.60763888888888895</v>
      </c>
      <c r="H6" s="37">
        <v>0.61458333333333337</v>
      </c>
      <c r="I6" s="46">
        <v>0.63541666666666663</v>
      </c>
      <c r="J6" s="46">
        <v>0.65972222222222199</v>
      </c>
      <c r="K6" s="47"/>
      <c r="M6" s="5"/>
      <c r="N6" s="5" t="s">
        <v>17</v>
      </c>
      <c r="O6" s="4">
        <f>Tabla538394041424344[[#This Row],[FECHA]]</f>
        <v>44889</v>
      </c>
      <c r="P6" s="7">
        <f>D6</f>
        <v>0.33333333333333331</v>
      </c>
      <c r="Q6" s="7">
        <f t="shared" si="0"/>
        <v>1.3888888888888951E-2</v>
      </c>
      <c r="R6" s="7">
        <f t="shared" si="0"/>
        <v>2.2222222222222199E-2</v>
      </c>
      <c r="S6" s="7">
        <f t="shared" si="0"/>
        <v>0.23819444444444449</v>
      </c>
      <c r="T6" s="7">
        <f>+Tabla538394041424344[[#This Row],[ALMUERZO]]-Tabla538394041424344[[#This Row],[TERMINO ACT. AM]]</f>
        <v>6.9444444444444198E-3</v>
      </c>
      <c r="U6" s="7">
        <f>+Tabla538394041424344[[#This Row],[INICIO ACTIVIDADES PM]]-Tabla538394041424344[[#This Row],[ALMUERZO]]</f>
        <v>2.0833333333333259E-2</v>
      </c>
      <c r="V6" s="7">
        <f>+Tabla538394041424344[[#This Row],[TERMINO ACTIVIDADES PM]]-Tabla538394041424344[[#This Row],[INICIO ACTIVIDADES PM]]</f>
        <v>2.4305555555555358E-2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  <c r="AC6" s="3">
        <f t="shared" si="7"/>
        <v>0.97222222222222221</v>
      </c>
    </row>
    <row r="7" spans="1:29" x14ac:dyDescent="0.3">
      <c r="A7" s="12" t="s">
        <v>87</v>
      </c>
      <c r="B7" s="12" t="s">
        <v>38</v>
      </c>
      <c r="C7" s="4">
        <f>+Tabla5[[#This Row],[FECHA]]</f>
        <v>44890</v>
      </c>
      <c r="D7" s="37">
        <v>0.33333333333333331</v>
      </c>
      <c r="E7" s="37">
        <v>0.34375</v>
      </c>
      <c r="F7" s="37">
        <v>0.36805555555555558</v>
      </c>
      <c r="G7" s="46">
        <v>0.60763888888888895</v>
      </c>
      <c r="H7" s="46">
        <v>0.61458333333333337</v>
      </c>
      <c r="I7" s="46">
        <v>0.64374999999999993</v>
      </c>
      <c r="J7" s="46">
        <v>0.65972222222222199</v>
      </c>
      <c r="K7" s="47"/>
      <c r="M7" s="5"/>
      <c r="N7" s="5" t="s">
        <v>18</v>
      </c>
      <c r="O7" s="4">
        <f>Tabla538394041424344[[#This Row],[FECHA]]</f>
        <v>44890</v>
      </c>
      <c r="P7" s="7">
        <f>D7</f>
        <v>0.33333333333333331</v>
      </c>
      <c r="Q7" s="7">
        <f t="shared" si="0"/>
        <v>1.0416666666666685E-2</v>
      </c>
      <c r="R7" s="7">
        <f t="shared" si="0"/>
        <v>2.430555555555558E-2</v>
      </c>
      <c r="S7" s="7">
        <f t="shared" si="0"/>
        <v>0.23958333333333337</v>
      </c>
      <c r="T7" s="7">
        <f>+Tabla538394041424344[[#This Row],[ALMUERZO]]-Tabla538394041424344[[#This Row],[TERMINO ACT. AM]]</f>
        <v>6.9444444444444198E-3</v>
      </c>
      <c r="U7" s="7">
        <f>+Tabla538394041424344[[#This Row],[INICIO ACTIVIDADES PM]]-Tabla538394041424344[[#This Row],[ALMUERZO]]</f>
        <v>2.9166666666666563E-2</v>
      </c>
      <c r="V7" s="7">
        <f>+Tabla538394041424344[[#This Row],[TERMINO ACTIVIDADES PM]]-Tabla538394041424344[[#This Row],[INICIO ACTIVIDADES PM]]</f>
        <v>1.5972222222222054E-2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  <c r="AC7" s="3">
        <f t="shared" si="7"/>
        <v>0.97222222222222221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37"/>
      <c r="D9" s="37"/>
      <c r="E9" s="37"/>
      <c r="F9" s="46"/>
      <c r="G9" s="46"/>
      <c r="H9" s="46"/>
      <c r="I9" s="46"/>
      <c r="J9" s="11"/>
      <c r="K9" s="38"/>
      <c r="M9" s="5">
        <f>Tabla538394041424344[[#This Row],[Columna1]]</f>
        <v>0</v>
      </c>
      <c r="N9" s="5"/>
      <c r="O9" s="4"/>
      <c r="AA9" s="3"/>
      <c r="AB9" s="3"/>
      <c r="AC9" s="3"/>
    </row>
    <row r="10" spans="1:29" x14ac:dyDescent="0.3">
      <c r="A10" s="40"/>
      <c r="B10" s="40"/>
      <c r="C10" s="37"/>
      <c r="D10" s="37"/>
      <c r="E10" s="37"/>
      <c r="F10" s="46"/>
      <c r="G10" s="46"/>
      <c r="H10" s="46"/>
      <c r="I10" s="46"/>
      <c r="J10" s="40"/>
      <c r="K10" s="38"/>
      <c r="M10" s="18"/>
      <c r="N10" s="5"/>
      <c r="O10" s="4"/>
      <c r="V10" s="78"/>
      <c r="W10" s="78"/>
      <c r="AA10" s="3"/>
      <c r="AB10" s="3"/>
      <c r="AC10" s="3"/>
    </row>
    <row r="11" spans="1:29" x14ac:dyDescent="0.3">
      <c r="A11" s="40"/>
      <c r="B11" s="40"/>
      <c r="C11" s="37"/>
      <c r="D11" s="37"/>
      <c r="E11" s="37"/>
      <c r="F11" s="46"/>
      <c r="G11" s="46"/>
      <c r="H11" s="46"/>
      <c r="I11" s="46"/>
      <c r="J11" s="40"/>
      <c r="K11" s="38"/>
      <c r="M11" s="5"/>
      <c r="N11" s="5"/>
      <c r="O11" s="4"/>
      <c r="V11" s="78"/>
      <c r="W11" s="78"/>
      <c r="AA11" s="3"/>
      <c r="AB11" s="3"/>
      <c r="AC11" s="3"/>
    </row>
    <row r="12" spans="1:29" x14ac:dyDescent="0.3">
      <c r="A12" s="11"/>
      <c r="B12" s="11"/>
      <c r="C12" s="37"/>
      <c r="D12" s="37"/>
      <c r="E12" s="37"/>
      <c r="F12" s="46"/>
      <c r="G12" s="37"/>
      <c r="H12" s="46"/>
      <c r="I12" s="46"/>
      <c r="J12" s="11"/>
      <c r="K12" s="38"/>
      <c r="M12" s="5"/>
      <c r="N12" s="5"/>
      <c r="O12" s="4"/>
      <c r="V12" s="78"/>
      <c r="W12" s="78"/>
      <c r="AA12" s="3"/>
      <c r="AB12" s="3"/>
      <c r="AC12" s="3"/>
    </row>
    <row r="13" spans="1:29" ht="16.2" thickBot="1" x14ac:dyDescent="0.35">
      <c r="A13" s="12"/>
      <c r="B13" s="12"/>
      <c r="C13" s="37"/>
      <c r="D13" s="37"/>
      <c r="E13" s="37"/>
      <c r="F13" s="46"/>
      <c r="G13" s="46"/>
      <c r="H13" s="46"/>
      <c r="I13" s="46"/>
      <c r="J13" s="12"/>
      <c r="K13" s="56"/>
      <c r="M13" s="5"/>
      <c r="N13" s="5"/>
      <c r="O13" s="4"/>
      <c r="V13" s="77"/>
      <c r="W13" s="77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7"/>
      <c r="W14" s="77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87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0.25763888888888903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0.19652777777777775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0.25625000000000003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0.26249999999999984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0.25555555555555542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0.24569444444444438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0.98277777777777753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7" t="s">
        <v>105</v>
      </c>
      <c r="J27" s="178" t="s">
        <v>103</v>
      </c>
      <c r="T27" s="3"/>
    </row>
    <row r="28" spans="1:20" ht="15.6" customHeight="1" x14ac:dyDescent="0.3">
      <c r="I28" s="177"/>
      <c r="J28" s="179"/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80"/>
      <c r="T30" s="3"/>
    </row>
    <row r="31" spans="1:20" x14ac:dyDescent="0.3">
      <c r="T31" s="3"/>
    </row>
    <row r="32" spans="1:20" x14ac:dyDescent="0.3">
      <c r="T32" s="3"/>
    </row>
    <row r="33" spans="11:20" ht="15.6" customHeight="1" x14ac:dyDescent="0.3">
      <c r="T33" s="3"/>
    </row>
    <row r="34" spans="11:20" x14ac:dyDescent="0.3">
      <c r="K34" s="84"/>
      <c r="T34" s="3"/>
    </row>
    <row r="35" spans="11:20" x14ac:dyDescent="0.3">
      <c r="T35" s="3"/>
    </row>
    <row r="36" spans="11:20" x14ac:dyDescent="0.3">
      <c r="T36" s="3"/>
    </row>
    <row r="37" spans="11:20" x14ac:dyDescent="0.3">
      <c r="T37" s="3"/>
    </row>
    <row r="38" spans="11:20" x14ac:dyDescent="0.3">
      <c r="T38" s="3"/>
    </row>
    <row r="39" spans="11:20" x14ac:dyDescent="0.3">
      <c r="T39" s="3"/>
    </row>
    <row r="40" spans="11:20" x14ac:dyDescent="0.3">
      <c r="T40" s="3"/>
    </row>
    <row r="41" spans="11:20" x14ac:dyDescent="0.3">
      <c r="T41" s="3"/>
    </row>
    <row r="42" spans="11:20" x14ac:dyDescent="0.3">
      <c r="T42" s="3"/>
    </row>
    <row r="43" spans="11:20" x14ac:dyDescent="0.3">
      <c r="T43" s="3"/>
    </row>
    <row r="44" spans="11:20" x14ac:dyDescent="0.3">
      <c r="T44" s="3"/>
    </row>
    <row r="45" spans="11:20" x14ac:dyDescent="0.3">
      <c r="T45" s="3"/>
    </row>
    <row r="46" spans="11:20" x14ac:dyDescent="0.3">
      <c r="T46" s="3"/>
    </row>
    <row r="47" spans="11:20" x14ac:dyDescent="0.3">
      <c r="T47" s="3"/>
    </row>
    <row r="48" spans="11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tabSelected="1" zoomScale="60" zoomScaleNormal="60" workbookViewId="0">
      <selection activeCell="F4" sqref="F4"/>
    </sheetView>
  </sheetViews>
  <sheetFormatPr baseColWidth="10" defaultRowHeight="15.6" x14ac:dyDescent="0.3"/>
  <cols>
    <col min="6" max="6" width="18.19921875" customWidth="1"/>
    <col min="7" max="7" width="13.5" customWidth="1"/>
    <col min="11" max="11" width="25.8984375" customWidth="1"/>
    <col min="20" max="20" width="13.8984375" bestFit="1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44886</v>
      </c>
      <c r="D3" s="37">
        <v>0.3125</v>
      </c>
      <c r="E3" s="37">
        <v>0.32291666666666669</v>
      </c>
      <c r="F3" s="37">
        <v>0.35486111111111113</v>
      </c>
      <c r="G3" s="37">
        <v>0.51736111111111105</v>
      </c>
      <c r="H3" s="37">
        <v>0.52638888888888891</v>
      </c>
      <c r="I3" s="37">
        <v>0.55555555555555558</v>
      </c>
      <c r="J3" s="46">
        <v>0.65625</v>
      </c>
      <c r="K3" s="47"/>
      <c r="L3" s="53"/>
      <c r="M3" s="53"/>
      <c r="N3" s="57" t="s">
        <v>15</v>
      </c>
      <c r="O3" s="4">
        <f>Tabla5383940414243444546[[#This Row],[FECHA]]</f>
        <v>44886</v>
      </c>
      <c r="P3" s="7">
        <f>D3</f>
        <v>0.3125</v>
      </c>
      <c r="Q3" s="7">
        <f>E3-D3</f>
        <v>1.0416666666666685E-2</v>
      </c>
      <c r="R3" s="7">
        <f>F3-E3</f>
        <v>3.1944444444444442E-2</v>
      </c>
      <c r="S3" s="7">
        <f>G3-F3</f>
        <v>0.16249999999999992</v>
      </c>
      <c r="T3" s="7">
        <f>+Tabla5383940414243444546[[#This Row],[ALMUERZO]]-Tabla5383940414243444546[[#This Row],[TERMINO ACT. AM]]</f>
        <v>9.0277777777778567E-3</v>
      </c>
      <c r="U3" s="7">
        <f>+Tabla5383940414243444546[[#This Row],[INICIO ACTIVIDADES PM]]-Tabla5383940414243444546[[#This Row],[ALMUERZO]]</f>
        <v>2.9166666666666674E-2</v>
      </c>
      <c r="V3" s="7">
        <f>+Tabla5383940414243444546[[#This Row],[TERMINO ACTIVIDADES PM]]-Tabla5383940414243444546[[#This Row],[INICIO ACTIVIDADES PM]]</f>
        <v>0.10069444444444442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44887</v>
      </c>
      <c r="D4" s="37">
        <v>0.3923611111111111</v>
      </c>
      <c r="E4" s="37">
        <v>0.40138888888888885</v>
      </c>
      <c r="F4" s="37">
        <v>0.40972222222222227</v>
      </c>
      <c r="G4" s="37">
        <v>0.60763888888888895</v>
      </c>
      <c r="H4" s="37">
        <v>0.61458333333333337</v>
      </c>
      <c r="I4" s="37">
        <v>0.63680555555555551</v>
      </c>
      <c r="J4" s="46">
        <v>0.65277777777777779</v>
      </c>
      <c r="K4" s="47" t="s">
        <v>129</v>
      </c>
      <c r="M4" s="5"/>
      <c r="N4" s="5" t="s">
        <v>16</v>
      </c>
      <c r="O4" s="4">
        <f>Tabla5383940414243444546[[#This Row],[FECHA]]</f>
        <v>44887</v>
      </c>
      <c r="P4" s="7">
        <f>D4</f>
        <v>0.3923611111111111</v>
      </c>
      <c r="Q4" s="7">
        <f t="shared" ref="Q4:S7" si="0">E4-D4</f>
        <v>9.0277777777777457E-3</v>
      </c>
      <c r="R4" s="7">
        <f t="shared" si="0"/>
        <v>8.3333333333334147E-3</v>
      </c>
      <c r="S4" s="7">
        <f t="shared" si="0"/>
        <v>0.19791666666666669</v>
      </c>
      <c r="T4" s="7">
        <f>+Tabla5383940414243444546[[#This Row],[ALMUERZO]]-Tabla5383940414243444546[[#This Row],[TERMINO ACT. AM]]</f>
        <v>6.9444444444444198E-3</v>
      </c>
      <c r="U4" s="7">
        <f>+Tabla5383940414243444546[[#This Row],[INICIO ACTIVIDADES PM]]-Tabla5383940414243444546[[#This Row],[ALMUERZO]]</f>
        <v>2.2222222222222143E-2</v>
      </c>
      <c r="V4" s="7">
        <f>+Tabla5383940414243444546[[#This Row],[TERMINO ACTIVIDADES PM]]-Tabla5383940414243444546[[#This Row],[INICIO ACTIVIDADES PM]]</f>
        <v>1.5972222222222276E-2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44888</v>
      </c>
      <c r="D5" s="37">
        <v>0.31597222222222221</v>
      </c>
      <c r="E5" s="37">
        <v>0.3263888888888889</v>
      </c>
      <c r="F5" s="37">
        <v>0.34375</v>
      </c>
      <c r="G5" s="37">
        <v>0.51388888888888895</v>
      </c>
      <c r="H5" s="37">
        <v>0.52222222222222225</v>
      </c>
      <c r="I5" s="37">
        <v>0.55347222222222225</v>
      </c>
      <c r="J5" s="46">
        <v>0.65277777777777779</v>
      </c>
      <c r="K5" s="47"/>
      <c r="M5" s="5"/>
      <c r="N5" s="5" t="s">
        <v>16</v>
      </c>
      <c r="O5" s="4">
        <f>Tabla5383940414243444546[[#This Row],[FECHA]]</f>
        <v>44888</v>
      </c>
      <c r="P5" s="7">
        <f>D5</f>
        <v>0.31597222222222221</v>
      </c>
      <c r="Q5" s="7">
        <f t="shared" si="0"/>
        <v>1.0416666666666685E-2</v>
      </c>
      <c r="R5" s="7">
        <f t="shared" si="0"/>
        <v>1.7361111111111105E-2</v>
      </c>
      <c r="S5" s="7">
        <f t="shared" si="0"/>
        <v>0.17013888888888895</v>
      </c>
      <c r="T5" s="7">
        <f>+Tabla5383940414243444546[[#This Row],[ALMUERZO]]-Tabla5383940414243444546[[#This Row],[TERMINO ACT. AM]]</f>
        <v>8.3333333333333037E-3</v>
      </c>
      <c r="U5" s="7">
        <f>+Tabla5383940414243444546[[#This Row],[INICIO ACTIVIDADES PM]]-Tabla5383940414243444546[[#This Row],[ALMUERZO]]</f>
        <v>3.125E-2</v>
      </c>
      <c r="V5" s="7">
        <f>+Tabla5383940414243444546[[#This Row],[TERMINO ACTIVIDADES PM]]-Tabla5383940414243444546[[#This Row],[INICIO ACTIVIDADES PM]]</f>
        <v>9.9305555555555536E-2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44889</v>
      </c>
      <c r="D6" s="37">
        <v>0.31111111111111112</v>
      </c>
      <c r="E6" s="37">
        <v>0.31875000000000003</v>
      </c>
      <c r="F6" s="37">
        <v>0.35000000000000003</v>
      </c>
      <c r="G6" s="37">
        <v>0.50694444444444442</v>
      </c>
      <c r="H6" s="37">
        <v>0.51388888888888895</v>
      </c>
      <c r="I6" s="37">
        <v>0.54513888888888895</v>
      </c>
      <c r="J6" s="46">
        <v>0.64930555555555558</v>
      </c>
      <c r="K6" s="47"/>
      <c r="M6" s="5"/>
      <c r="N6" s="5" t="s">
        <v>17</v>
      </c>
      <c r="O6" s="4">
        <f>Tabla5383940414243444546[[#This Row],[FECHA]]</f>
        <v>44889</v>
      </c>
      <c r="P6" s="7">
        <f>D6</f>
        <v>0.31111111111111112</v>
      </c>
      <c r="Q6" s="7">
        <f t="shared" si="0"/>
        <v>7.6388888888889173E-3</v>
      </c>
      <c r="R6" s="7">
        <f t="shared" si="0"/>
        <v>3.125E-2</v>
      </c>
      <c r="S6" s="7">
        <f t="shared" si="0"/>
        <v>0.15694444444444439</v>
      </c>
      <c r="T6" s="7">
        <f>+Tabla5383940414243444546[[#This Row],[ALMUERZO]]-Tabla5383940414243444546[[#This Row],[TERMINO ACT. AM]]</f>
        <v>6.9444444444445308E-3</v>
      </c>
      <c r="U6" s="7">
        <f>+Tabla5383940414243444546[[#This Row],[INICIO ACTIVIDADES PM]]-Tabla5383940414243444546[[#This Row],[ALMUERZO]]</f>
        <v>3.125E-2</v>
      </c>
      <c r="V6" s="7">
        <f>+Tabla5383940414243444546[[#This Row],[TERMINO ACTIVIDADES PM]]-Tabla5383940414243444546[[#This Row],[INICIO ACTIVIDADES PM]]</f>
        <v>0.10416666666666663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44890</v>
      </c>
      <c r="D7" s="37">
        <v>0.3125</v>
      </c>
      <c r="E7" s="37">
        <v>0.32777777777777778</v>
      </c>
      <c r="F7" s="37">
        <v>0.35555555555555557</v>
      </c>
      <c r="G7" s="37">
        <v>0.50694444444444442</v>
      </c>
      <c r="H7" s="37">
        <v>0.51041666666666663</v>
      </c>
      <c r="I7" s="37">
        <v>0.54166666666666663</v>
      </c>
      <c r="J7" s="46">
        <v>0.65277777777777779</v>
      </c>
      <c r="K7" s="47"/>
      <c r="M7" s="5"/>
      <c r="N7" s="5" t="s">
        <v>18</v>
      </c>
      <c r="O7" s="4">
        <f>Tabla5383940414243444546[[#This Row],[FECHA]]</f>
        <v>44890</v>
      </c>
      <c r="P7" s="7">
        <f>D7</f>
        <v>0.3125</v>
      </c>
      <c r="Q7" s="7">
        <f t="shared" si="0"/>
        <v>1.5277777777777779E-2</v>
      </c>
      <c r="R7" s="7">
        <f t="shared" si="0"/>
        <v>2.777777777777779E-2</v>
      </c>
      <c r="S7" s="7">
        <f t="shared" si="0"/>
        <v>0.15138888888888885</v>
      </c>
      <c r="T7" s="7">
        <f>+Tabla5383940414243444546[[#This Row],[ALMUERZO]]-Tabla5383940414243444546[[#This Row],[TERMINO ACT. AM]]</f>
        <v>3.4722222222222099E-3</v>
      </c>
      <c r="U7" s="7">
        <f>+Tabla5383940414243444546[[#This Row],[INICIO ACTIVIDADES PM]]-Tabla5383940414243444546[[#This Row],[ALMUERZO]]</f>
        <v>3.125E-2</v>
      </c>
      <c r="V7" s="7">
        <f>+Tabla5383940414243444546[[#This Row],[TERMINO ACTIVIDADES PM]]-Tabla5383940414243444546[[#This Row],[INICIO ACTIVIDADES PM]]</f>
        <v>0.11111111111111116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37"/>
      <c r="D9" s="37"/>
      <c r="E9" s="37"/>
      <c r="F9" s="37"/>
      <c r="G9" s="37"/>
      <c r="H9" s="37"/>
      <c r="I9" s="46"/>
      <c r="J9" s="11"/>
      <c r="K9" s="38"/>
      <c r="M9" s="5">
        <f>Tabla5383940414243444546[[#This Row],[Columna1]]</f>
        <v>0</v>
      </c>
      <c r="N9" s="5"/>
      <c r="O9" s="4"/>
      <c r="P9" s="7"/>
      <c r="Z9" s="3"/>
      <c r="AA9" s="3"/>
      <c r="AB9" s="3"/>
      <c r="AC9" s="3"/>
    </row>
    <row r="10" spans="1:29" x14ac:dyDescent="0.3">
      <c r="A10" s="40"/>
      <c r="B10" s="40"/>
      <c r="C10" s="37"/>
      <c r="D10" s="37"/>
      <c r="E10" s="37"/>
      <c r="F10" s="37"/>
      <c r="G10" s="37"/>
      <c r="H10" s="37"/>
      <c r="I10" s="46"/>
      <c r="J10" s="40"/>
      <c r="K10" s="38"/>
      <c r="M10" s="18"/>
      <c r="N10" s="5"/>
      <c r="O10" s="4"/>
      <c r="P10" s="7"/>
      <c r="Z10" s="3"/>
      <c r="AA10" s="3"/>
      <c r="AB10" s="3"/>
      <c r="AC10" s="3"/>
    </row>
    <row r="11" spans="1:29" x14ac:dyDescent="0.3">
      <c r="A11" s="40"/>
      <c r="B11" s="40"/>
      <c r="C11" s="37"/>
      <c r="D11" s="37"/>
      <c r="E11" s="37"/>
      <c r="F11" s="37"/>
      <c r="G11" s="37"/>
      <c r="H11" s="37"/>
      <c r="I11" s="46"/>
      <c r="J11" s="40"/>
      <c r="K11" s="38"/>
      <c r="M11" s="5"/>
      <c r="N11" s="5"/>
      <c r="O11" s="4"/>
      <c r="P11" s="7"/>
      <c r="Z11" s="3"/>
      <c r="AA11" s="3"/>
      <c r="AB11" s="3"/>
      <c r="AC11" s="3"/>
    </row>
    <row r="12" spans="1:29" x14ac:dyDescent="0.3">
      <c r="A12" s="11"/>
      <c r="B12" s="11"/>
      <c r="C12" s="37"/>
      <c r="D12" s="37"/>
      <c r="E12" s="37"/>
      <c r="F12" s="37"/>
      <c r="G12" s="37"/>
      <c r="H12" s="37"/>
      <c r="I12" s="46"/>
      <c r="J12" s="11"/>
      <c r="K12" s="38"/>
      <c r="M12" s="5"/>
      <c r="N12" s="5"/>
      <c r="O12" s="4"/>
      <c r="P12" s="7"/>
      <c r="Z12" s="3"/>
      <c r="AA12" s="3"/>
      <c r="AB12" s="3"/>
      <c r="AC12" s="3"/>
    </row>
    <row r="13" spans="1:29" ht="16.2" thickBot="1" x14ac:dyDescent="0.35">
      <c r="A13" s="12"/>
      <c r="B13" s="12"/>
      <c r="C13" s="37"/>
      <c r="D13" s="37"/>
      <c r="E13" s="37"/>
      <c r="F13" s="37"/>
      <c r="G13" s="37"/>
      <c r="H13" s="37"/>
      <c r="I13" s="46"/>
      <c r="J13" s="10"/>
      <c r="K13" s="56"/>
      <c r="M13" s="5"/>
      <c r="N13" s="5"/>
      <c r="O13" s="4"/>
      <c r="P13" s="7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88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0.26319444444444434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0.21388888888888896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0.26944444444444449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0.26111111111111102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0.26250000000000001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0.25402777777777774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1.016111111111111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7" t="s">
        <v>105</v>
      </c>
      <c r="J27" s="178" t="s">
        <v>103</v>
      </c>
      <c r="T27" s="3"/>
    </row>
    <row r="28" spans="1:20" ht="15.6" customHeight="1" x14ac:dyDescent="0.3">
      <c r="I28" s="177"/>
      <c r="J28" s="179"/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zoomScale="70" zoomScaleNormal="70" workbookViewId="0">
      <selection activeCell="C5" sqref="C5:C15"/>
    </sheetView>
  </sheetViews>
  <sheetFormatPr baseColWidth="10" defaultRowHeight="15.6" x14ac:dyDescent="0.3"/>
  <cols>
    <col min="2" max="2" width="22.59765625" customWidth="1"/>
    <col min="6" max="6" width="15.09765625" bestFit="1" customWidth="1"/>
    <col min="7" max="7" width="13.3984375" bestFit="1" customWidth="1"/>
    <col min="16" max="16" width="52.5" customWidth="1"/>
  </cols>
  <sheetData>
    <row r="1" spans="2:16" ht="16.2" thickBot="1" x14ac:dyDescent="0.35"/>
    <row r="2" spans="2:16" x14ac:dyDescent="0.3">
      <c r="B2" s="70" t="s">
        <v>65</v>
      </c>
      <c r="C2" s="71">
        <f>+'TTE 7'!G21</f>
        <v>0.24569444444444438</v>
      </c>
      <c r="D2" s="69">
        <f t="shared" ref="D2:D9" si="0">+C2/$C$17</f>
        <v>0.98277777777777753</v>
      </c>
      <c r="F2" s="79"/>
    </row>
    <row r="3" spans="2:16" x14ac:dyDescent="0.3">
      <c r="B3" s="72" t="s">
        <v>56</v>
      </c>
      <c r="C3" s="73">
        <f>+'SUB 6'!G21</f>
        <v>0.24694444444444433</v>
      </c>
      <c r="D3" s="69">
        <f t="shared" si="0"/>
        <v>0.98777777777777731</v>
      </c>
      <c r="F3" s="79"/>
    </row>
    <row r="4" spans="2:16" x14ac:dyDescent="0.3">
      <c r="B4" s="72" t="s">
        <v>55</v>
      </c>
      <c r="C4" s="73">
        <f>+'SUB 5'!G21</f>
        <v>0.23513888888888887</v>
      </c>
      <c r="D4" s="69">
        <f t="shared" si="0"/>
        <v>0.94055555555555548</v>
      </c>
      <c r="F4" s="79"/>
    </row>
    <row r="5" spans="2:16" x14ac:dyDescent="0.3">
      <c r="B5" s="72" t="s">
        <v>54</v>
      </c>
      <c r="C5" s="73">
        <f>+'TTE 6 '!G21</f>
        <v>0.23194444444444423</v>
      </c>
      <c r="D5" s="69">
        <f t="shared" si="0"/>
        <v>0.92777777777777692</v>
      </c>
      <c r="F5" s="79"/>
    </row>
    <row r="6" spans="2:16" x14ac:dyDescent="0.3">
      <c r="B6" s="72" t="s">
        <v>58</v>
      </c>
      <c r="C6" s="73">
        <f>+DIABLO!G21</f>
        <v>0.2459722222222222</v>
      </c>
      <c r="D6" s="69">
        <f t="shared" si="0"/>
        <v>0.98388888888888881</v>
      </c>
      <c r="F6" s="79"/>
    </row>
    <row r="7" spans="2:16" x14ac:dyDescent="0.3">
      <c r="B7" s="72" t="s">
        <v>57</v>
      </c>
      <c r="C7" s="73">
        <f>+'PIPA N'!G21</f>
        <v>0.23888888888888885</v>
      </c>
      <c r="D7" s="69">
        <f t="shared" si="0"/>
        <v>0.95555555555555538</v>
      </c>
      <c r="F7" s="79"/>
    </row>
    <row r="8" spans="2:16" x14ac:dyDescent="0.3">
      <c r="B8" s="72" t="s">
        <v>66</v>
      </c>
      <c r="C8" s="73">
        <f>+'CH colon'!G21</f>
        <v>0.25402777777777774</v>
      </c>
      <c r="D8" s="69">
        <f t="shared" si="0"/>
        <v>1.016111111111111</v>
      </c>
      <c r="F8" s="79"/>
    </row>
    <row r="9" spans="2:16" x14ac:dyDescent="0.3">
      <c r="B9" s="74" t="s">
        <v>92</v>
      </c>
      <c r="C9" s="73">
        <f>+Salvataje!G21</f>
        <v>0.23583333333333328</v>
      </c>
      <c r="D9" s="69">
        <f t="shared" si="0"/>
        <v>0.94333333333333313</v>
      </c>
      <c r="F9" s="79"/>
    </row>
    <row r="10" spans="2:16" x14ac:dyDescent="0.3">
      <c r="B10" s="72" t="s">
        <v>64</v>
      </c>
      <c r="C10" s="73">
        <f>+'LA JUNTA'!G21</f>
        <v>0.27111111111111103</v>
      </c>
      <c r="D10" s="69">
        <f>+C10/$C$19</f>
        <v>0.9295238095238092</v>
      </c>
      <c r="F10" s="79"/>
    </row>
    <row r="11" spans="2:16" x14ac:dyDescent="0.3">
      <c r="B11" s="72" t="s">
        <v>62</v>
      </c>
      <c r="C11" s="73">
        <f>+AC!G21</f>
        <v>0.25763888888888886</v>
      </c>
      <c r="D11" s="69">
        <f>+C11/$C$17</f>
        <v>1.0305555555555554</v>
      </c>
      <c r="F11" s="79"/>
      <c r="P11" s="80"/>
    </row>
    <row r="12" spans="2:16" x14ac:dyDescent="0.3">
      <c r="B12" s="72" t="s">
        <v>63</v>
      </c>
      <c r="C12" s="73">
        <f>+Colec!G21</f>
        <v>0.25500000000000006</v>
      </c>
      <c r="D12" s="69">
        <f>+C12/$C$17</f>
        <v>1.0200000000000002</v>
      </c>
      <c r="F12" s="79"/>
    </row>
    <row r="13" spans="2:16" x14ac:dyDescent="0.3">
      <c r="B13" s="72" t="s">
        <v>61</v>
      </c>
      <c r="C13" s="73">
        <f>+'P M'!G21</f>
        <v>0.24347222222222223</v>
      </c>
      <c r="D13" s="69">
        <f>+C13/$C$17</f>
        <v>0.97388888888888892</v>
      </c>
      <c r="F13" s="79"/>
    </row>
    <row r="14" spans="2:16" x14ac:dyDescent="0.3">
      <c r="B14" s="72" t="s">
        <v>60</v>
      </c>
      <c r="C14" s="73">
        <f>+'Vent '!G21</f>
        <v>0.24722222222222223</v>
      </c>
      <c r="D14" s="69">
        <f>+C14/$C$17</f>
        <v>0.98888888888888893</v>
      </c>
      <c r="F14" s="79"/>
    </row>
    <row r="15" spans="2:16" x14ac:dyDescent="0.3">
      <c r="B15" s="72" t="s">
        <v>59</v>
      </c>
      <c r="C15" s="73">
        <f>+ACCU!G21</f>
        <v>0.43208333333333321</v>
      </c>
      <c r="D15" s="69">
        <f>+C15/$C$18</f>
        <v>1.0199999999999998</v>
      </c>
      <c r="F15" s="79"/>
    </row>
    <row r="16" spans="2:16" x14ac:dyDescent="0.3">
      <c r="B16" s="72" t="s">
        <v>51</v>
      </c>
      <c r="C16" s="73">
        <f>AVERAGE(C2:C15)</f>
        <v>0.26006944444444441</v>
      </c>
    </row>
    <row r="17" spans="2:4" x14ac:dyDescent="0.3">
      <c r="B17" s="72" t="s">
        <v>52</v>
      </c>
      <c r="C17" s="73">
        <v>0.25</v>
      </c>
      <c r="D17" s="55">
        <f>+AVERAGE(D2:D16)</f>
        <v>0.97861678004535124</v>
      </c>
    </row>
    <row r="18" spans="2:4" x14ac:dyDescent="0.3">
      <c r="B18" s="72" t="s">
        <v>75</v>
      </c>
      <c r="C18" s="73">
        <v>0.4236111111111111</v>
      </c>
    </row>
    <row r="19" spans="2:4" ht="16.2" thickBot="1" x14ac:dyDescent="0.35">
      <c r="B19" s="75" t="s">
        <v>76</v>
      </c>
      <c r="C19" s="76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1"/>
  <sheetViews>
    <sheetView workbookViewId="0">
      <selection activeCell="K10" sqref="K10:M10"/>
    </sheetView>
  </sheetViews>
  <sheetFormatPr baseColWidth="10" defaultRowHeight="15.6" x14ac:dyDescent="0.3"/>
  <cols>
    <col min="1" max="1" width="12.3984375" customWidth="1"/>
    <col min="2" max="2" width="3" customWidth="1"/>
    <col min="5" max="5" width="3" customWidth="1"/>
    <col min="8" max="8" width="2.796875" customWidth="1"/>
    <col min="11" max="11" width="2.59765625" customWidth="1"/>
    <col min="14" max="14" width="2.796875" customWidth="1"/>
    <col min="17" max="17" width="3.296875" customWidth="1"/>
    <col min="18" max="19" width="3" customWidth="1"/>
    <col min="20" max="20" width="3.19921875" customWidth="1"/>
    <col min="21" max="21" width="3" customWidth="1"/>
    <col min="22" max="22" width="2.8984375" customWidth="1"/>
    <col min="23" max="23" width="3.296875" customWidth="1"/>
  </cols>
  <sheetData>
    <row r="2" spans="1:25" x14ac:dyDescent="0.3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2" thickBot="1" x14ac:dyDescent="0.35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6.8" thickTop="1" thickBot="1" x14ac:dyDescent="0.35">
      <c r="A4" s="87" t="s">
        <v>106</v>
      </c>
      <c r="B4" s="193">
        <f>+'TTE 6 '!C3</f>
        <v>44886</v>
      </c>
      <c r="C4" s="194"/>
      <c r="D4" s="194"/>
      <c r="E4" s="184">
        <f>+'TTE 6 '!C4</f>
        <v>44887</v>
      </c>
      <c r="F4" s="185"/>
      <c r="G4" s="185"/>
      <c r="H4" s="195">
        <f>+'TTE 6 '!C5</f>
        <v>44888</v>
      </c>
      <c r="I4" s="196"/>
      <c r="J4" s="197"/>
      <c r="K4" s="184">
        <f>+'TTE 6 '!C6</f>
        <v>44889</v>
      </c>
      <c r="L4" s="185"/>
      <c r="M4" s="185"/>
      <c r="N4" s="186">
        <f>+'TTE 6 '!C7</f>
        <v>44890</v>
      </c>
      <c r="O4" s="187"/>
      <c r="P4" s="188"/>
      <c r="Q4" s="184">
        <f>+'TTE 6 '!C8</f>
        <v>44891</v>
      </c>
      <c r="R4" s="185"/>
      <c r="S4" s="185"/>
      <c r="T4" s="186">
        <f>+'TTE 6 '!C9</f>
        <v>44892</v>
      </c>
      <c r="U4" s="187"/>
      <c r="V4" s="189"/>
      <c r="W4" s="190" t="s">
        <v>107</v>
      </c>
      <c r="X4" s="191"/>
      <c r="Y4" s="192"/>
    </row>
    <row r="5" spans="1:25" ht="16.2" thickBot="1" x14ac:dyDescent="0.35">
      <c r="A5" s="88"/>
      <c r="B5" s="144" t="s">
        <v>108</v>
      </c>
      <c r="C5" s="145" t="s">
        <v>103</v>
      </c>
      <c r="D5" s="146" t="s">
        <v>104</v>
      </c>
      <c r="E5" s="89" t="s">
        <v>108</v>
      </c>
      <c r="F5" s="90" t="s">
        <v>103</v>
      </c>
      <c r="G5" s="91" t="s">
        <v>104</v>
      </c>
      <c r="H5" s="144" t="s">
        <v>108</v>
      </c>
      <c r="I5" s="145" t="s">
        <v>103</v>
      </c>
      <c r="J5" s="146" t="s">
        <v>104</v>
      </c>
      <c r="K5" s="89" t="s">
        <v>108</v>
      </c>
      <c r="L5" s="90" t="s">
        <v>103</v>
      </c>
      <c r="M5" s="91" t="s">
        <v>104</v>
      </c>
      <c r="N5" s="89" t="s">
        <v>108</v>
      </c>
      <c r="O5" s="90" t="s">
        <v>103</v>
      </c>
      <c r="P5" s="91" t="s">
        <v>104</v>
      </c>
      <c r="Q5" s="89" t="s">
        <v>108</v>
      </c>
      <c r="R5" s="90" t="s">
        <v>103</v>
      </c>
      <c r="S5" s="91" t="s">
        <v>104</v>
      </c>
      <c r="T5" s="89" t="s">
        <v>108</v>
      </c>
      <c r="U5" s="90" t="s">
        <v>103</v>
      </c>
      <c r="V5" s="92" t="s">
        <v>104</v>
      </c>
      <c r="W5" s="93" t="s">
        <v>108</v>
      </c>
      <c r="X5" s="90" t="s">
        <v>103</v>
      </c>
      <c r="Y5" s="94" t="s">
        <v>104</v>
      </c>
    </row>
    <row r="6" spans="1:25" ht="16.2" thickBot="1" x14ac:dyDescent="0.35">
      <c r="A6" s="95" t="s">
        <v>109</v>
      </c>
      <c r="B6" s="181" t="s">
        <v>110</v>
      </c>
      <c r="C6" s="182"/>
      <c r="D6" s="183"/>
      <c r="E6" s="181" t="s">
        <v>110</v>
      </c>
      <c r="F6" s="182"/>
      <c r="G6" s="183"/>
      <c r="H6" s="181" t="s">
        <v>110</v>
      </c>
      <c r="I6" s="182"/>
      <c r="J6" s="183"/>
      <c r="K6" s="181" t="s">
        <v>110</v>
      </c>
      <c r="L6" s="182"/>
      <c r="M6" s="183"/>
      <c r="N6" s="181" t="s">
        <v>110</v>
      </c>
      <c r="O6" s="182"/>
      <c r="P6" s="183"/>
      <c r="Q6" s="181" t="s">
        <v>110</v>
      </c>
      <c r="R6" s="182"/>
      <c r="S6" s="183"/>
      <c r="T6" s="181" t="s">
        <v>110</v>
      </c>
      <c r="U6" s="182"/>
      <c r="V6" s="182"/>
      <c r="W6" s="198" t="s">
        <v>110</v>
      </c>
      <c r="X6" s="182"/>
      <c r="Y6" s="199"/>
    </row>
    <row r="7" spans="1:25" x14ac:dyDescent="0.3">
      <c r="A7" s="96" t="s">
        <v>111</v>
      </c>
      <c r="B7" s="117"/>
      <c r="C7" s="118"/>
      <c r="D7" s="118">
        <f>+'TTE 7'!D3</f>
        <v>0.33333333333333331</v>
      </c>
      <c r="E7" s="97"/>
      <c r="F7" s="143"/>
      <c r="G7" s="143">
        <f>+'TTE 7'!D4</f>
        <v>0.41319444444444442</v>
      </c>
      <c r="H7" s="117"/>
      <c r="I7" s="174"/>
      <c r="J7" s="174">
        <f>+'TTE 7'!D5</f>
        <v>0.33333333333333331</v>
      </c>
      <c r="K7" s="97"/>
      <c r="L7" s="143"/>
      <c r="M7" s="143">
        <f>+'TTE 7'!D6</f>
        <v>0.33333333333333331</v>
      </c>
      <c r="N7" s="97"/>
      <c r="O7" s="143"/>
      <c r="P7" s="143">
        <f>+'TTE 7'!D7</f>
        <v>0.33333333333333331</v>
      </c>
      <c r="Q7" s="97"/>
      <c r="R7" s="100"/>
      <c r="S7" s="101"/>
      <c r="T7" s="97"/>
      <c r="U7" s="100"/>
      <c r="V7" s="102"/>
      <c r="W7" s="103" t="str">
        <f t="shared" ref="W7:Y9" si="0">IFERROR(AVERAGE(B7,E7,H7,K7,N7,Q7,T7),"")</f>
        <v/>
      </c>
      <c r="X7" s="104" t="str">
        <f t="shared" si="0"/>
        <v/>
      </c>
      <c r="Y7" s="104">
        <f t="shared" si="0"/>
        <v>0.34930555555555548</v>
      </c>
    </row>
    <row r="8" spans="1:25" x14ac:dyDescent="0.3">
      <c r="A8" s="96" t="s">
        <v>112</v>
      </c>
      <c r="B8" s="117"/>
      <c r="C8" s="118"/>
      <c r="D8" s="118">
        <f>+'TTE 7'!J3</f>
        <v>0.65972222222222221</v>
      </c>
      <c r="E8" s="97"/>
      <c r="F8" s="98"/>
      <c r="G8" s="98">
        <f>+'TTE 7'!J4</f>
        <v>0.65972222222222221</v>
      </c>
      <c r="H8" s="117"/>
      <c r="I8" s="118"/>
      <c r="J8" s="118">
        <f>+'TTE 7'!J5</f>
        <v>0.65972222222222221</v>
      </c>
      <c r="K8" s="97"/>
      <c r="L8" s="98"/>
      <c r="M8" s="98">
        <f>+'TTE 7'!J6</f>
        <v>0.65972222222222199</v>
      </c>
      <c r="N8" s="97"/>
      <c r="O8" s="98"/>
      <c r="P8" s="98">
        <f>+'TTE 7'!J7</f>
        <v>0.65972222222222199</v>
      </c>
      <c r="Q8" s="97"/>
      <c r="R8" s="100"/>
      <c r="S8" s="101"/>
      <c r="T8" s="97"/>
      <c r="U8" s="100"/>
      <c r="V8" s="102"/>
      <c r="W8" s="106" t="str">
        <f t="shared" si="0"/>
        <v/>
      </c>
      <c r="X8" s="107" t="str">
        <f t="shared" si="0"/>
        <v/>
      </c>
      <c r="Y8" s="107">
        <f t="shared" si="0"/>
        <v>0.6597222222222221</v>
      </c>
    </row>
    <row r="9" spans="1:25" ht="16.2" thickBot="1" x14ac:dyDescent="0.35">
      <c r="A9" s="109" t="s">
        <v>113</v>
      </c>
      <c r="B9" s="127"/>
      <c r="C9" s="119"/>
      <c r="D9" s="119">
        <f>+'TTE 7'!G16</f>
        <v>0.25763888888888903</v>
      </c>
      <c r="E9" s="110"/>
      <c r="F9" s="139"/>
      <c r="G9" s="139">
        <f>+'TTE 7'!G17</f>
        <v>0.19652777777777775</v>
      </c>
      <c r="H9" s="127"/>
      <c r="I9" s="128"/>
      <c r="J9" s="128">
        <f>+'TTE 7'!G18</f>
        <v>0.25625000000000003</v>
      </c>
      <c r="K9" s="110"/>
      <c r="L9" s="139"/>
      <c r="M9" s="139">
        <f>+'TTE 7'!G19</f>
        <v>0.26249999999999984</v>
      </c>
      <c r="N9" s="110"/>
      <c r="O9" s="139"/>
      <c r="P9" s="139">
        <f>+'TTE 7'!G20</f>
        <v>0.25555555555555542</v>
      </c>
      <c r="Q9" s="110"/>
      <c r="R9" s="111"/>
      <c r="S9" s="112"/>
      <c r="T9" s="110"/>
      <c r="U9" s="111"/>
      <c r="V9" s="113"/>
      <c r="W9" s="114" t="str">
        <f t="shared" si="0"/>
        <v/>
      </c>
      <c r="X9" s="115" t="str">
        <f t="shared" si="0"/>
        <v/>
      </c>
      <c r="Y9" s="115">
        <f t="shared" si="0"/>
        <v>0.24569444444444438</v>
      </c>
    </row>
    <row r="10" spans="1:25" ht="16.2" thickBot="1" x14ac:dyDescent="0.35">
      <c r="A10" s="95" t="s">
        <v>114</v>
      </c>
      <c r="B10" s="181" t="s">
        <v>110</v>
      </c>
      <c r="C10" s="182"/>
      <c r="D10" s="183"/>
      <c r="E10" s="181" t="s">
        <v>110</v>
      </c>
      <c r="F10" s="182"/>
      <c r="G10" s="183"/>
      <c r="H10" s="181" t="s">
        <v>110</v>
      </c>
      <c r="I10" s="182"/>
      <c r="J10" s="183"/>
      <c r="K10" s="181" t="s">
        <v>110</v>
      </c>
      <c r="L10" s="182"/>
      <c r="M10" s="183"/>
      <c r="N10" s="181" t="s">
        <v>110</v>
      </c>
      <c r="O10" s="182"/>
      <c r="P10" s="183"/>
      <c r="Q10" s="181" t="s">
        <v>110</v>
      </c>
      <c r="R10" s="182"/>
      <c r="S10" s="183"/>
      <c r="T10" s="181" t="s">
        <v>110</v>
      </c>
      <c r="U10" s="182"/>
      <c r="V10" s="182"/>
      <c r="W10" s="198" t="s">
        <v>110</v>
      </c>
      <c r="X10" s="182"/>
      <c r="Y10" s="199"/>
    </row>
    <row r="11" spans="1:25" x14ac:dyDescent="0.3">
      <c r="A11" s="96" t="s">
        <v>111</v>
      </c>
      <c r="B11" s="117"/>
      <c r="C11" s="118">
        <f>+'SUB 6'!D3</f>
        <v>0.67361111111111116</v>
      </c>
      <c r="D11" s="118"/>
      <c r="E11" s="97"/>
      <c r="F11" s="98">
        <f>+'SUB 6'!D4</f>
        <v>0.67361111111111116</v>
      </c>
      <c r="G11" s="98"/>
      <c r="H11" s="117"/>
      <c r="I11" s="118">
        <f>+'SUB 6'!D5</f>
        <v>0.67361111111111116</v>
      </c>
      <c r="J11" s="118"/>
      <c r="K11" s="97"/>
      <c r="L11" s="98">
        <f>+'SUB 6'!D6</f>
        <v>0.67708333333333337</v>
      </c>
      <c r="M11" s="98"/>
      <c r="N11" s="97"/>
      <c r="O11" s="98">
        <f>+'SUB 6'!D7</f>
        <v>0.67708333333333337</v>
      </c>
      <c r="P11" s="98"/>
      <c r="Q11" s="97"/>
      <c r="R11" s="100"/>
      <c r="S11" s="101"/>
      <c r="T11" s="97"/>
      <c r="U11" s="100"/>
      <c r="V11" s="102"/>
      <c r="W11" s="103" t="str">
        <f>IFERROR(AVERAGE(B11,E11,H11,K11,N11,Q11,T11),"")</f>
        <v/>
      </c>
      <c r="X11" s="104">
        <f>IFERROR(AVERAGE(C11,F11,I11,L11,O11,R11,U11),"")</f>
        <v>0.67500000000000004</v>
      </c>
      <c r="Y11" s="151" t="str">
        <f>IFERROR(AVERAGE(D11,G11,J11,M11,P11,S11,V11),"")</f>
        <v/>
      </c>
    </row>
    <row r="12" spans="1:25" x14ac:dyDescent="0.3">
      <c r="A12" s="96" t="s">
        <v>112</v>
      </c>
      <c r="B12" s="117"/>
      <c r="C12" s="118">
        <f>+'SUB 6'!J3</f>
        <v>0.99305555555555547</v>
      </c>
      <c r="D12" s="118"/>
      <c r="E12" s="97"/>
      <c r="F12" s="98">
        <f>+'SUB 6'!J4</f>
        <v>0.99305555555555547</v>
      </c>
      <c r="G12" s="98"/>
      <c r="H12" s="117"/>
      <c r="I12" s="118">
        <f>+'SUB 6'!J5</f>
        <v>0.99305555555555547</v>
      </c>
      <c r="J12" s="118"/>
      <c r="K12" s="97"/>
      <c r="L12" s="98">
        <f>+'SUB 6'!J6</f>
        <v>0.99305555555555547</v>
      </c>
      <c r="M12" s="98"/>
      <c r="N12" s="97"/>
      <c r="O12" s="98">
        <f>+'SUB 6'!J7</f>
        <v>0.99305555555555547</v>
      </c>
      <c r="P12" s="98"/>
      <c r="Q12" s="97"/>
      <c r="R12" s="100"/>
      <c r="S12" s="101"/>
      <c r="T12" s="97"/>
      <c r="U12" s="100"/>
      <c r="V12" s="102"/>
      <c r="W12" s="106" t="str">
        <f>IFERROR(AVERAGE(B12,E12,H12,K12,N12,Q12,T12),"")</f>
        <v/>
      </c>
      <c r="X12" s="107">
        <f t="shared" ref="X12:Y13" si="1">IFERROR(AVERAGE(C12,F12,I12,L12,O12,R12,U12),"")</f>
        <v>0.99305555555555558</v>
      </c>
      <c r="Y12" s="152" t="str">
        <f t="shared" si="1"/>
        <v/>
      </c>
    </row>
    <row r="13" spans="1:25" ht="16.2" thickBot="1" x14ac:dyDescent="0.35">
      <c r="A13" s="109" t="s">
        <v>113</v>
      </c>
      <c r="B13" s="127"/>
      <c r="C13" s="118">
        <f>+'SUB 6'!G16</f>
        <v>0.25277777777777755</v>
      </c>
      <c r="D13" s="118"/>
      <c r="E13" s="110"/>
      <c r="F13" s="98">
        <f>+'SUB 6'!G17</f>
        <v>0.23680555555555527</v>
      </c>
      <c r="G13" s="98"/>
      <c r="H13" s="127"/>
      <c r="I13" s="118">
        <f>+'SUB 6'!G18</f>
        <v>0.24305555555555536</v>
      </c>
      <c r="J13" s="118"/>
      <c r="K13" s="110"/>
      <c r="L13" s="98">
        <f>+'SUB 6'!G19</f>
        <v>0.25208333333333333</v>
      </c>
      <c r="M13" s="98"/>
      <c r="N13" s="110"/>
      <c r="O13" s="98">
        <f>+'SUB 6'!G20</f>
        <v>0.25</v>
      </c>
      <c r="P13" s="98"/>
      <c r="Q13" s="110"/>
      <c r="R13" s="111"/>
      <c r="S13" s="112"/>
      <c r="T13" s="110"/>
      <c r="U13" s="111"/>
      <c r="V13" s="113"/>
      <c r="W13" s="114" t="str">
        <f>IFERROR(AVERAGE(B13,E13,H13,K13,N13,Q13,T13),"")</f>
        <v/>
      </c>
      <c r="X13" s="115">
        <f t="shared" si="1"/>
        <v>0.24694444444444433</v>
      </c>
      <c r="Y13" s="153" t="str">
        <f t="shared" si="1"/>
        <v/>
      </c>
    </row>
    <row r="14" spans="1:25" ht="16.2" thickBot="1" x14ac:dyDescent="0.35">
      <c r="A14" s="95" t="s">
        <v>115</v>
      </c>
      <c r="B14" s="181" t="s">
        <v>110</v>
      </c>
      <c r="C14" s="182"/>
      <c r="D14" s="183"/>
      <c r="E14" s="181" t="s">
        <v>110</v>
      </c>
      <c r="F14" s="182"/>
      <c r="G14" s="183"/>
      <c r="H14" s="181" t="s">
        <v>110</v>
      </c>
      <c r="I14" s="182"/>
      <c r="J14" s="183"/>
      <c r="K14" s="181" t="s">
        <v>110</v>
      </c>
      <c r="L14" s="182"/>
      <c r="M14" s="183"/>
      <c r="N14" s="181" t="s">
        <v>110</v>
      </c>
      <c r="O14" s="182"/>
      <c r="P14" s="183"/>
      <c r="Q14" s="181" t="s">
        <v>110</v>
      </c>
      <c r="R14" s="182"/>
      <c r="S14" s="183"/>
      <c r="T14" s="181" t="s">
        <v>110</v>
      </c>
      <c r="U14" s="182"/>
      <c r="V14" s="182"/>
      <c r="W14" s="198" t="s">
        <v>110</v>
      </c>
      <c r="X14" s="182"/>
      <c r="Y14" s="199"/>
    </row>
    <row r="15" spans="1:25" x14ac:dyDescent="0.3">
      <c r="A15" s="96" t="s">
        <v>111</v>
      </c>
      <c r="B15" s="117"/>
      <c r="C15" s="119">
        <f>+'SUB 5'!D3</f>
        <v>0.34375</v>
      </c>
      <c r="D15" s="119"/>
      <c r="E15" s="117"/>
      <c r="F15" s="118">
        <f>+'SUB 5'!D4</f>
        <v>0.41319444444444442</v>
      </c>
      <c r="G15" s="118"/>
      <c r="H15" s="117"/>
      <c r="I15" s="118">
        <f>+'SUB 5'!D5</f>
        <v>0.34166666666666662</v>
      </c>
      <c r="J15" s="118"/>
      <c r="K15" s="117"/>
      <c r="L15" s="118">
        <f>+'SUB 5'!D6</f>
        <v>0.34375</v>
      </c>
      <c r="M15" s="118"/>
      <c r="N15" s="117"/>
      <c r="O15" s="118">
        <f>+'SUB 5'!D7</f>
        <v>0.35069444444444442</v>
      </c>
      <c r="P15" s="118"/>
      <c r="Q15" s="117"/>
      <c r="R15" s="120"/>
      <c r="S15" s="121"/>
      <c r="T15" s="117"/>
      <c r="U15" s="120"/>
      <c r="V15" s="122"/>
      <c r="W15" s="123" t="str">
        <f>IFERROR(AVERAGE(B15,E15,H15,K15,N15,Q15,T15),"")</f>
        <v/>
      </c>
      <c r="X15" s="124">
        <f t="shared" ref="X15:Y17" si="2">IFERROR(AVERAGE(C15,F15,I15,L15,O15,R15,U15),"")</f>
        <v>0.3586111111111111</v>
      </c>
      <c r="Y15" s="148" t="str">
        <f t="shared" si="2"/>
        <v/>
      </c>
    </row>
    <row r="16" spans="1:25" x14ac:dyDescent="0.3">
      <c r="A16" s="96" t="s">
        <v>112</v>
      </c>
      <c r="B16" s="117"/>
      <c r="C16" s="119">
        <f>+'SUB 5'!J3</f>
        <v>0.65972222222222221</v>
      </c>
      <c r="D16" s="119"/>
      <c r="E16" s="117"/>
      <c r="F16" s="118">
        <f>+'SUB 5'!J4</f>
        <v>0.65972222222222221</v>
      </c>
      <c r="G16" s="118"/>
      <c r="H16" s="117"/>
      <c r="I16" s="118">
        <f>+'SUB 5'!J5</f>
        <v>0.65972222222222221</v>
      </c>
      <c r="J16" s="118"/>
      <c r="K16" s="117"/>
      <c r="L16" s="118">
        <f>+'SUB 5'!J6</f>
        <v>0.65972222222222221</v>
      </c>
      <c r="M16" s="118"/>
      <c r="N16" s="117"/>
      <c r="O16" s="118">
        <f>+'SUB 5'!J7</f>
        <v>0.65972222222222221</v>
      </c>
      <c r="P16" s="118"/>
      <c r="Q16" s="117"/>
      <c r="R16" s="120"/>
      <c r="S16" s="121"/>
      <c r="T16" s="117"/>
      <c r="U16" s="120"/>
      <c r="V16" s="122"/>
      <c r="W16" s="125" t="str">
        <f>IFERROR(AVERAGE(B16,E16,H16,K16,N16,Q16,T16),"")</f>
        <v/>
      </c>
      <c r="X16" s="126">
        <f t="shared" si="2"/>
        <v>0.65972222222222221</v>
      </c>
      <c r="Y16" s="149" t="str">
        <f t="shared" si="2"/>
        <v/>
      </c>
    </row>
    <row r="17" spans="1:25" ht="16.2" thickBot="1" x14ac:dyDescent="0.35">
      <c r="A17" s="109" t="s">
        <v>113</v>
      </c>
      <c r="B17" s="127"/>
      <c r="C17" s="119">
        <f>+'SUB 5'!G16</f>
        <v>0.24791666666666667</v>
      </c>
      <c r="D17" s="119"/>
      <c r="E17" s="127"/>
      <c r="F17" s="118">
        <f>+'SUB 5'!G17</f>
        <v>0.19791666666666669</v>
      </c>
      <c r="G17" s="118"/>
      <c r="H17" s="127"/>
      <c r="I17" s="118">
        <f>+'SUB 5'!G18</f>
        <v>0.24375000000000002</v>
      </c>
      <c r="J17" s="118"/>
      <c r="K17" s="127"/>
      <c r="L17" s="118">
        <f>+'SUB 5'!G19</f>
        <v>0.23888888888888876</v>
      </c>
      <c r="M17" s="118"/>
      <c r="N17" s="127"/>
      <c r="O17" s="118">
        <f>+'SUB 5'!G20</f>
        <v>0.24722222222222223</v>
      </c>
      <c r="P17" s="118"/>
      <c r="Q17" s="127"/>
      <c r="R17" s="129"/>
      <c r="S17" s="130"/>
      <c r="T17" s="127"/>
      <c r="U17" s="129"/>
      <c r="V17" s="131"/>
      <c r="W17" s="132" t="str">
        <f>IFERROR(AVERAGE(B17,E17,H17,K17,N17,Q17,T17),"")</f>
        <v/>
      </c>
      <c r="X17" s="133">
        <f t="shared" si="2"/>
        <v>0.23513888888888887</v>
      </c>
      <c r="Y17" s="150" t="str">
        <f t="shared" si="2"/>
        <v/>
      </c>
    </row>
    <row r="18" spans="1:25" ht="16.2" thickBot="1" x14ac:dyDescent="0.35">
      <c r="A18" s="95" t="s">
        <v>116</v>
      </c>
      <c r="B18" s="181" t="s">
        <v>110</v>
      </c>
      <c r="C18" s="182"/>
      <c r="D18" s="183"/>
      <c r="E18" s="181" t="s">
        <v>110</v>
      </c>
      <c r="F18" s="182"/>
      <c r="G18" s="183"/>
      <c r="H18" s="181" t="s">
        <v>110</v>
      </c>
      <c r="I18" s="182"/>
      <c r="J18" s="183"/>
      <c r="K18" s="181" t="s">
        <v>110</v>
      </c>
      <c r="L18" s="182"/>
      <c r="M18" s="183"/>
      <c r="N18" s="181" t="s">
        <v>110</v>
      </c>
      <c r="O18" s="182"/>
      <c r="P18" s="183"/>
      <c r="Q18" s="181" t="s">
        <v>110</v>
      </c>
      <c r="R18" s="182"/>
      <c r="S18" s="183"/>
      <c r="T18" s="181" t="s">
        <v>110</v>
      </c>
      <c r="U18" s="182"/>
      <c r="V18" s="182"/>
      <c r="W18" s="198" t="s">
        <v>110</v>
      </c>
      <c r="X18" s="182"/>
      <c r="Y18" s="199"/>
    </row>
    <row r="19" spans="1:25" x14ac:dyDescent="0.3">
      <c r="A19" s="96" t="s">
        <v>111</v>
      </c>
      <c r="B19" s="117"/>
      <c r="C19" s="118">
        <f>+'TTE 6 '!D3</f>
        <v>0.33680555555555558</v>
      </c>
      <c r="D19" s="121"/>
      <c r="E19" s="97"/>
      <c r="F19" s="98">
        <f>+'TTE 6 '!D4</f>
        <v>0.4236111111111111</v>
      </c>
      <c r="G19" s="101"/>
      <c r="H19" s="117"/>
      <c r="I19" s="118">
        <f>+'TTE 6 '!D5</f>
        <v>0.34027777777777773</v>
      </c>
      <c r="J19" s="121"/>
      <c r="K19" s="97"/>
      <c r="L19" s="98">
        <f>+'TTE 6 '!D6</f>
        <v>0.33680555555555558</v>
      </c>
      <c r="M19" s="101"/>
      <c r="N19" s="97"/>
      <c r="O19" s="98">
        <f>+'TTE 6 '!D7</f>
        <v>0.33680555555555558</v>
      </c>
      <c r="P19" s="101"/>
      <c r="Q19" s="97"/>
      <c r="R19" s="100"/>
      <c r="S19" s="101"/>
      <c r="T19" s="97"/>
      <c r="U19" s="100"/>
      <c r="V19" s="102"/>
      <c r="W19" s="103" t="str">
        <f>IFERROR(AVERAGE(B19,E19,H19,K19,N19,Q19,T19),"")</f>
        <v/>
      </c>
      <c r="X19" s="104">
        <f t="shared" ref="X19:Y21" si="3">IFERROR(AVERAGE(C19,F19,I19,L19,O19,R19,U19),"")</f>
        <v>0.35486111111111113</v>
      </c>
      <c r="Y19" s="105" t="str">
        <f t="shared" si="3"/>
        <v/>
      </c>
    </row>
    <row r="20" spans="1:25" x14ac:dyDescent="0.3">
      <c r="A20" s="96" t="s">
        <v>112</v>
      </c>
      <c r="B20" s="117"/>
      <c r="C20" s="118">
        <f>+'TTE 6 '!J3</f>
        <v>0.65972222222222199</v>
      </c>
      <c r="D20" s="121"/>
      <c r="E20" s="97"/>
      <c r="F20" s="98">
        <f>+'TTE 6 '!J4</f>
        <v>0.65972222222222199</v>
      </c>
      <c r="G20" s="101"/>
      <c r="H20" s="117"/>
      <c r="I20" s="118">
        <f>+'TTE 6 '!J5</f>
        <v>0.65972222222222199</v>
      </c>
      <c r="J20" s="121"/>
      <c r="K20" s="97"/>
      <c r="L20" s="98">
        <f>+'TTE 6 '!J6</f>
        <v>0.65972222222222199</v>
      </c>
      <c r="M20" s="101"/>
      <c r="N20" s="97"/>
      <c r="O20" s="98">
        <f>+'TTE 6 '!J7</f>
        <v>0.65972222222222221</v>
      </c>
      <c r="P20" s="101"/>
      <c r="Q20" s="97"/>
      <c r="R20" s="100"/>
      <c r="S20" s="101"/>
      <c r="T20" s="97"/>
      <c r="U20" s="100"/>
      <c r="V20" s="102"/>
      <c r="W20" s="106" t="str">
        <f>IFERROR(AVERAGE(B20,E20,H20,K20,N20,Q20,T20),"")</f>
        <v/>
      </c>
      <c r="X20" s="107">
        <f t="shared" si="3"/>
        <v>0.6597222222222221</v>
      </c>
      <c r="Y20" s="108" t="str">
        <f t="shared" si="3"/>
        <v/>
      </c>
    </row>
    <row r="21" spans="1:25" ht="16.2" thickBot="1" x14ac:dyDescent="0.35">
      <c r="A21" s="109" t="s">
        <v>113</v>
      </c>
      <c r="B21" s="127"/>
      <c r="C21" s="118">
        <f>+'TTE 6 '!G16</f>
        <v>0.24861111111111084</v>
      </c>
      <c r="D21" s="130"/>
      <c r="E21" s="110"/>
      <c r="F21" s="98">
        <f>+'TTE 6 '!G17</f>
        <v>0.1763888888888886</v>
      </c>
      <c r="G21" s="112"/>
      <c r="H21" s="127"/>
      <c r="I21" s="118">
        <f>+'TTE 6 '!G18</f>
        <v>0.24374999999999974</v>
      </c>
      <c r="J21" s="130"/>
      <c r="K21" s="110"/>
      <c r="L21" s="98">
        <f>+'TTE 6 '!G19</f>
        <v>0.24166666666666647</v>
      </c>
      <c r="M21" s="112"/>
      <c r="N21" s="110"/>
      <c r="O21" s="98">
        <f>+'TTE 6 '!G20</f>
        <v>0.2493055555555555</v>
      </c>
      <c r="P21" s="112"/>
      <c r="Q21" s="110"/>
      <c r="R21" s="111"/>
      <c r="S21" s="112"/>
      <c r="T21" s="110"/>
      <c r="U21" s="111"/>
      <c r="V21" s="113"/>
      <c r="W21" s="114" t="str">
        <f>IFERROR(AVERAGE(B21,E21,H21,K21,N21,Q21,T21),"")</f>
        <v/>
      </c>
      <c r="X21" s="115">
        <f t="shared" si="3"/>
        <v>0.23194444444444423</v>
      </c>
      <c r="Y21" s="116" t="str">
        <f t="shared" si="3"/>
        <v/>
      </c>
    </row>
    <row r="22" spans="1:25" ht="16.2" thickBot="1" x14ac:dyDescent="0.35">
      <c r="A22" s="95" t="s">
        <v>117</v>
      </c>
      <c r="B22" s="181" t="s">
        <v>110</v>
      </c>
      <c r="C22" s="182"/>
      <c r="D22" s="183"/>
      <c r="E22" s="181" t="s">
        <v>110</v>
      </c>
      <c r="F22" s="182"/>
      <c r="G22" s="183"/>
      <c r="H22" s="181" t="s">
        <v>110</v>
      </c>
      <c r="I22" s="182"/>
      <c r="J22" s="183"/>
      <c r="K22" s="181" t="s">
        <v>110</v>
      </c>
      <c r="L22" s="182"/>
      <c r="M22" s="183"/>
      <c r="N22" s="181" t="s">
        <v>110</v>
      </c>
      <c r="O22" s="182"/>
      <c r="P22" s="183"/>
      <c r="Q22" s="181" t="s">
        <v>110</v>
      </c>
      <c r="R22" s="182"/>
      <c r="S22" s="183"/>
      <c r="T22" s="181" t="s">
        <v>110</v>
      </c>
      <c r="U22" s="182"/>
      <c r="V22" s="182"/>
      <c r="W22" s="198" t="s">
        <v>110</v>
      </c>
      <c r="X22" s="182"/>
      <c r="Y22" s="199"/>
    </row>
    <row r="23" spans="1:25" x14ac:dyDescent="0.3">
      <c r="A23" s="96" t="s">
        <v>111</v>
      </c>
      <c r="B23" s="117"/>
      <c r="C23" s="118"/>
      <c r="D23" s="118">
        <f>+DIABLO!D3</f>
        <v>0.67361111111111116</v>
      </c>
      <c r="E23" s="97"/>
      <c r="F23" s="98"/>
      <c r="G23" s="98">
        <f>+DIABLO!D4</f>
        <v>0.67361111111111116</v>
      </c>
      <c r="H23" s="117"/>
      <c r="I23" s="118"/>
      <c r="J23" s="118">
        <f>+DIABLO!D5</f>
        <v>0.67361111111111116</v>
      </c>
      <c r="K23" s="97"/>
      <c r="L23" s="98"/>
      <c r="M23" s="98">
        <f>+DIABLO!D6</f>
        <v>0.67361111111111116</v>
      </c>
      <c r="N23" s="97"/>
      <c r="O23" s="98"/>
      <c r="P23" s="98">
        <f>+DIABLO!D7</f>
        <v>0.67361111111111116</v>
      </c>
      <c r="Q23" s="97"/>
      <c r="R23" s="100"/>
      <c r="S23" s="101"/>
      <c r="T23" s="97"/>
      <c r="U23" s="100"/>
      <c r="V23" s="102"/>
      <c r="W23" s="103" t="str">
        <f t="shared" ref="W23:X25" si="4">IFERROR(AVERAGE(B23,E23,H23,K23,N23,Q23,T23),"")</f>
        <v/>
      </c>
      <c r="X23" s="104" t="str">
        <f t="shared" si="4"/>
        <v/>
      </c>
      <c r="Y23" s="151">
        <f t="shared" ref="Y23:Y25" si="5">IFERROR(AVERAGE(D23,G23,J23,M23,P23,S23,V23),"")</f>
        <v>0.67361111111111116</v>
      </c>
    </row>
    <row r="24" spans="1:25" x14ac:dyDescent="0.3">
      <c r="A24" s="96" t="s">
        <v>112</v>
      </c>
      <c r="B24" s="117"/>
      <c r="C24" s="118"/>
      <c r="D24" s="118">
        <f>+DIABLO!J3</f>
        <v>0.98958333333333337</v>
      </c>
      <c r="E24" s="97"/>
      <c r="F24" s="98"/>
      <c r="G24" s="98">
        <f>+DIABLO!D4</f>
        <v>0.67361111111111116</v>
      </c>
      <c r="H24" s="117"/>
      <c r="I24" s="118"/>
      <c r="J24" s="118">
        <f>+DIABLO!J5</f>
        <v>0.99305555555555547</v>
      </c>
      <c r="K24" s="97"/>
      <c r="L24" s="98"/>
      <c r="M24" s="98">
        <f>+DIABLO!J6</f>
        <v>0.99305555555555547</v>
      </c>
      <c r="N24" s="97"/>
      <c r="O24" s="98"/>
      <c r="P24" s="98">
        <f>+DIABLO!J7</f>
        <v>0.99305555555555547</v>
      </c>
      <c r="Q24" s="97"/>
      <c r="R24" s="100"/>
      <c r="S24" s="101"/>
      <c r="T24" s="97"/>
      <c r="U24" s="100"/>
      <c r="V24" s="102"/>
      <c r="W24" s="106" t="str">
        <f t="shared" si="4"/>
        <v/>
      </c>
      <c r="X24" s="107" t="str">
        <f t="shared" si="4"/>
        <v/>
      </c>
      <c r="Y24" s="152">
        <f t="shared" si="5"/>
        <v>0.92847222222222214</v>
      </c>
    </row>
    <row r="25" spans="1:25" ht="16.2" thickBot="1" x14ac:dyDescent="0.35">
      <c r="A25" s="109" t="s">
        <v>113</v>
      </c>
      <c r="B25" s="127"/>
      <c r="C25" s="118"/>
      <c r="D25" s="118">
        <f>+DIABLO!G16</f>
        <v>0.24236111111111114</v>
      </c>
      <c r="E25" s="110"/>
      <c r="F25" s="98"/>
      <c r="G25" s="98">
        <f>+DIABLO!G17</f>
        <v>0.24513888888888891</v>
      </c>
      <c r="H25" s="127"/>
      <c r="I25" s="118"/>
      <c r="J25" s="118">
        <f>+DIABLO!G18</f>
        <v>0.24930555555555556</v>
      </c>
      <c r="K25" s="110"/>
      <c r="L25" s="98"/>
      <c r="M25" s="98">
        <f>+DIABLO!G19</f>
        <v>0.24652777777777779</v>
      </c>
      <c r="N25" s="110"/>
      <c r="O25" s="98"/>
      <c r="P25" s="98">
        <f>+DIABLO!G20</f>
        <v>0.24652777777777779</v>
      </c>
      <c r="Q25" s="110"/>
      <c r="R25" s="111"/>
      <c r="S25" s="112"/>
      <c r="T25" s="110"/>
      <c r="U25" s="111"/>
      <c r="V25" s="113"/>
      <c r="W25" s="114" t="str">
        <f t="shared" si="4"/>
        <v/>
      </c>
      <c r="X25" s="115" t="str">
        <f t="shared" si="4"/>
        <v/>
      </c>
      <c r="Y25" s="153">
        <f t="shared" si="5"/>
        <v>0.2459722222222222</v>
      </c>
    </row>
    <row r="26" spans="1:25" ht="16.2" thickBot="1" x14ac:dyDescent="0.35">
      <c r="A26" s="95" t="s">
        <v>118</v>
      </c>
      <c r="B26" s="181" t="s">
        <v>110</v>
      </c>
      <c r="C26" s="182"/>
      <c r="D26" s="183"/>
      <c r="E26" s="181" t="s">
        <v>110</v>
      </c>
      <c r="F26" s="182"/>
      <c r="G26" s="183"/>
      <c r="H26" s="181" t="s">
        <v>110</v>
      </c>
      <c r="I26" s="182"/>
      <c r="J26" s="183"/>
      <c r="K26" s="181" t="s">
        <v>110</v>
      </c>
      <c r="L26" s="182"/>
      <c r="M26" s="183"/>
      <c r="N26" s="181" t="s">
        <v>110</v>
      </c>
      <c r="O26" s="182"/>
      <c r="P26" s="183"/>
      <c r="Q26" s="181" t="s">
        <v>110</v>
      </c>
      <c r="R26" s="182"/>
      <c r="S26" s="183"/>
      <c r="T26" s="181" t="s">
        <v>110</v>
      </c>
      <c r="U26" s="182"/>
      <c r="V26" s="182"/>
      <c r="W26" s="198" t="s">
        <v>110</v>
      </c>
      <c r="X26" s="182"/>
      <c r="Y26" s="199"/>
    </row>
    <row r="27" spans="1:25" x14ac:dyDescent="0.3">
      <c r="A27" s="96" t="s">
        <v>111</v>
      </c>
      <c r="B27" s="117"/>
      <c r="C27" s="118">
        <f>+'PIPA N'!D3</f>
        <v>0.34027777777777773</v>
      </c>
      <c r="D27" s="118"/>
      <c r="E27" s="97"/>
      <c r="F27" s="98">
        <f>+'PIPA N'!J4</f>
        <v>0.65972222222222221</v>
      </c>
      <c r="G27" s="98"/>
      <c r="H27" s="117"/>
      <c r="I27" s="118">
        <f>+'PIPA N'!D5</f>
        <v>0.33680555555555558</v>
      </c>
      <c r="J27" s="118"/>
      <c r="K27" s="97"/>
      <c r="L27" s="98">
        <f>+'PIPA N'!D6</f>
        <v>0.34375</v>
      </c>
      <c r="M27" s="98"/>
      <c r="N27" s="97"/>
      <c r="O27" s="98">
        <f>+'PIPA N'!D7</f>
        <v>0.34375</v>
      </c>
      <c r="P27" s="98"/>
      <c r="Q27" s="97"/>
      <c r="R27" s="100"/>
      <c r="S27" s="101"/>
      <c r="T27" s="97"/>
      <c r="U27" s="100"/>
      <c r="V27" s="102"/>
      <c r="W27" s="103" t="str">
        <f>IFERROR(AVERAGE(B27,E27,H27,K27,N27,Q27,T27),"")</f>
        <v/>
      </c>
      <c r="X27" s="104">
        <f t="shared" ref="X27:Y29" si="6">IFERROR(AVERAGE(C27,F27,I27,L27,O27,R27,U27),"")</f>
        <v>0.40486111111111106</v>
      </c>
      <c r="Y27" s="151" t="str">
        <f t="shared" si="6"/>
        <v/>
      </c>
    </row>
    <row r="28" spans="1:25" x14ac:dyDescent="0.3">
      <c r="A28" s="134" t="s">
        <v>112</v>
      </c>
      <c r="B28" s="147"/>
      <c r="C28" s="118">
        <f>+'PIPA N'!J3</f>
        <v>0.65972222222222221</v>
      </c>
      <c r="D28" s="118"/>
      <c r="E28" s="135"/>
      <c r="F28" s="98">
        <f>+'PIPA N'!J4</f>
        <v>0.65972222222222221</v>
      </c>
      <c r="G28" s="98"/>
      <c r="H28" s="147"/>
      <c r="I28" s="118">
        <f>+'PIPA N'!J5</f>
        <v>0.65972222222222221</v>
      </c>
      <c r="J28" s="118"/>
      <c r="K28" s="135"/>
      <c r="L28" s="98">
        <f>+'PIPA N'!J6</f>
        <v>0.65972222222222221</v>
      </c>
      <c r="M28" s="98"/>
      <c r="N28" s="135"/>
      <c r="O28" s="98">
        <f>+'PIPA N'!J7</f>
        <v>0.65972222222222221</v>
      </c>
      <c r="P28" s="98"/>
      <c r="Q28" s="135"/>
      <c r="R28" s="136"/>
      <c r="S28" s="137"/>
      <c r="T28" s="135"/>
      <c r="U28" s="136"/>
      <c r="V28" s="138"/>
      <c r="W28" s="106" t="str">
        <f>IFERROR(AVERAGE(B28,E28,H28,K28,N28,Q28,T28),"")</f>
        <v/>
      </c>
      <c r="X28" s="107">
        <f t="shared" si="6"/>
        <v>0.65972222222222221</v>
      </c>
      <c r="Y28" s="152" t="str">
        <f t="shared" si="6"/>
        <v/>
      </c>
    </row>
    <row r="29" spans="1:25" ht="16.2" thickBot="1" x14ac:dyDescent="0.35">
      <c r="A29" s="109" t="s">
        <v>113</v>
      </c>
      <c r="B29" s="127"/>
      <c r="C29" s="118">
        <f>+'PIPA N'!G16</f>
        <v>0.24722222222222218</v>
      </c>
      <c r="D29" s="118"/>
      <c r="E29" s="110"/>
      <c r="F29" s="98">
        <f>+'PIPA N'!G17</f>
        <v>0.19444444444444431</v>
      </c>
      <c r="G29" s="98"/>
      <c r="H29" s="127"/>
      <c r="I29" s="118">
        <f>+'PIPA N'!G18</f>
        <v>0.24305555555555552</v>
      </c>
      <c r="J29" s="118"/>
      <c r="K29" s="110"/>
      <c r="L29" s="98">
        <f>+'PIPA N'!G19</f>
        <v>0.25416666666666671</v>
      </c>
      <c r="M29" s="98"/>
      <c r="N29" s="110"/>
      <c r="O29" s="98">
        <f>+'PIPA N'!G20</f>
        <v>0.25555555555555548</v>
      </c>
      <c r="P29" s="98"/>
      <c r="Q29" s="110"/>
      <c r="R29" s="111"/>
      <c r="S29" s="112"/>
      <c r="T29" s="110"/>
      <c r="U29" s="111"/>
      <c r="V29" s="113"/>
      <c r="W29" s="114" t="str">
        <f>IFERROR(AVERAGE(B29,E29,H29,K29,N29,Q29,T29),"")</f>
        <v/>
      </c>
      <c r="X29" s="115">
        <f t="shared" si="6"/>
        <v>0.23888888888888885</v>
      </c>
      <c r="Y29" s="153" t="str">
        <f t="shared" si="6"/>
        <v/>
      </c>
    </row>
    <row r="30" spans="1:25" ht="16.2" thickBot="1" x14ac:dyDescent="0.35">
      <c r="A30" s="95" t="s">
        <v>119</v>
      </c>
      <c r="B30" s="181" t="s">
        <v>110</v>
      </c>
      <c r="C30" s="182"/>
      <c r="D30" s="183"/>
      <c r="E30" s="181" t="s">
        <v>110</v>
      </c>
      <c r="F30" s="182"/>
      <c r="G30" s="183"/>
      <c r="H30" s="181" t="s">
        <v>110</v>
      </c>
      <c r="I30" s="182"/>
      <c r="J30" s="183"/>
      <c r="K30" s="181" t="s">
        <v>110</v>
      </c>
      <c r="L30" s="182"/>
      <c r="M30" s="183"/>
      <c r="N30" s="181" t="s">
        <v>110</v>
      </c>
      <c r="O30" s="182"/>
      <c r="P30" s="183"/>
      <c r="Q30" s="181" t="s">
        <v>110</v>
      </c>
      <c r="R30" s="182"/>
      <c r="S30" s="183"/>
      <c r="T30" s="181" t="s">
        <v>110</v>
      </c>
      <c r="U30" s="182"/>
      <c r="V30" s="182"/>
      <c r="W30" s="198" t="s">
        <v>110</v>
      </c>
      <c r="X30" s="182"/>
      <c r="Y30" s="199"/>
    </row>
    <row r="31" spans="1:25" x14ac:dyDescent="0.3">
      <c r="A31" s="96" t="s">
        <v>111</v>
      </c>
      <c r="B31" s="117"/>
      <c r="C31" s="118">
        <f>+'CH colon'!D3</f>
        <v>0.3125</v>
      </c>
      <c r="D31" s="118"/>
      <c r="E31" s="97"/>
      <c r="F31" s="98">
        <f>+'CH colon'!D4</f>
        <v>0.3923611111111111</v>
      </c>
      <c r="G31" s="98"/>
      <c r="H31" s="117"/>
      <c r="I31" s="118">
        <f>+'CH colon'!D5</f>
        <v>0.31597222222222221</v>
      </c>
      <c r="J31" s="118"/>
      <c r="K31" s="97"/>
      <c r="L31" s="98">
        <f>+'CH colon'!D6</f>
        <v>0.31111111111111112</v>
      </c>
      <c r="M31" s="98"/>
      <c r="N31" s="97"/>
      <c r="O31" s="98">
        <f>+'CH colon'!D7</f>
        <v>0.3125</v>
      </c>
      <c r="P31" s="98"/>
      <c r="Q31" s="97"/>
      <c r="R31" s="100"/>
      <c r="S31" s="101"/>
      <c r="T31" s="97"/>
      <c r="U31" s="100"/>
      <c r="V31" s="102"/>
      <c r="W31" s="103" t="str">
        <f>IFERROR(AVERAGE(B31,E31,H31,K31,N31,Q31,T31),"")</f>
        <v/>
      </c>
      <c r="X31" s="104">
        <f t="shared" ref="X31:Y33" si="7">IFERROR(AVERAGE(C31,F31,I31,L31,O31,R31,U31),"")</f>
        <v>0.3288888888888889</v>
      </c>
      <c r="Y31" s="105" t="str">
        <f t="shared" si="7"/>
        <v/>
      </c>
    </row>
    <row r="32" spans="1:25" x14ac:dyDescent="0.3">
      <c r="A32" s="96" t="s">
        <v>112</v>
      </c>
      <c r="B32" s="117"/>
      <c r="C32" s="118">
        <f>+'CH colon'!J3</f>
        <v>0.65625</v>
      </c>
      <c r="D32" s="118"/>
      <c r="E32" s="97"/>
      <c r="F32" s="98">
        <f>+'CH colon'!J4</f>
        <v>0.65277777777777779</v>
      </c>
      <c r="G32" s="98"/>
      <c r="H32" s="117"/>
      <c r="I32" s="118">
        <f>+'CH colon'!J5</f>
        <v>0.65277777777777779</v>
      </c>
      <c r="J32" s="118"/>
      <c r="K32" s="97"/>
      <c r="L32" s="98">
        <f>+'CH colon'!J6</f>
        <v>0.64930555555555558</v>
      </c>
      <c r="M32" s="98"/>
      <c r="N32" s="97"/>
      <c r="O32" s="98">
        <f>+'CH colon'!J7</f>
        <v>0.65277777777777779</v>
      </c>
      <c r="P32" s="98"/>
      <c r="Q32" s="97"/>
      <c r="R32" s="100"/>
      <c r="S32" s="101"/>
      <c r="T32" s="97"/>
      <c r="U32" s="100"/>
      <c r="V32" s="102"/>
      <c r="W32" s="106" t="str">
        <f>IFERROR(AVERAGE(B32,E32,H32,K32,N32,Q32,T32),"")</f>
        <v/>
      </c>
      <c r="X32" s="107">
        <f t="shared" si="7"/>
        <v>0.65277777777777768</v>
      </c>
      <c r="Y32" s="108" t="str">
        <f t="shared" si="7"/>
        <v/>
      </c>
    </row>
    <row r="33" spans="1:25" ht="16.2" thickBot="1" x14ac:dyDescent="0.35">
      <c r="A33" s="109" t="s">
        <v>113</v>
      </c>
      <c r="B33" s="127"/>
      <c r="C33" s="118">
        <f>+'CH colon'!G16</f>
        <v>0.26319444444444434</v>
      </c>
      <c r="D33" s="118"/>
      <c r="E33" s="110"/>
      <c r="F33" s="98">
        <f>+'CH colon'!G17</f>
        <v>0.21388888888888896</v>
      </c>
      <c r="G33" s="98"/>
      <c r="H33" s="127"/>
      <c r="I33" s="118">
        <f>+'CH colon'!G18</f>
        <v>0.26944444444444449</v>
      </c>
      <c r="J33" s="118"/>
      <c r="K33" s="110"/>
      <c r="L33" s="98">
        <f>+'CH colon'!G19</f>
        <v>0.26111111111111102</v>
      </c>
      <c r="M33" s="98"/>
      <c r="N33" s="110"/>
      <c r="O33" s="98">
        <f>+'CH colon'!G20</f>
        <v>0.26250000000000001</v>
      </c>
      <c r="P33" s="98"/>
      <c r="Q33" s="110"/>
      <c r="R33" s="111"/>
      <c r="S33" s="112"/>
      <c r="T33" s="110"/>
      <c r="U33" s="111"/>
      <c r="V33" s="113"/>
      <c r="W33" s="114" t="str">
        <f>IFERROR(AVERAGE(B33,E33,H33,K33,N33,Q33,T33),"")</f>
        <v/>
      </c>
      <c r="X33" s="115">
        <f t="shared" si="7"/>
        <v>0.25402777777777774</v>
      </c>
      <c r="Y33" s="116" t="str">
        <f t="shared" si="7"/>
        <v/>
      </c>
    </row>
    <row r="34" spans="1:25" ht="16.2" thickBot="1" x14ac:dyDescent="0.35">
      <c r="A34" s="95" t="s">
        <v>92</v>
      </c>
      <c r="B34" s="181" t="s">
        <v>110</v>
      </c>
      <c r="C34" s="182"/>
      <c r="D34" s="183"/>
      <c r="E34" s="181" t="s">
        <v>110</v>
      </c>
      <c r="F34" s="182"/>
      <c r="G34" s="183"/>
      <c r="H34" s="181" t="s">
        <v>110</v>
      </c>
      <c r="I34" s="182"/>
      <c r="J34" s="183"/>
      <c r="K34" s="181" t="s">
        <v>110</v>
      </c>
      <c r="L34" s="182"/>
      <c r="M34" s="183"/>
      <c r="N34" s="181" t="s">
        <v>110</v>
      </c>
      <c r="O34" s="182"/>
      <c r="P34" s="183"/>
      <c r="Q34" s="181" t="s">
        <v>110</v>
      </c>
      <c r="R34" s="182"/>
      <c r="S34" s="183"/>
      <c r="T34" s="181" t="s">
        <v>110</v>
      </c>
      <c r="U34" s="182"/>
      <c r="V34" s="182"/>
      <c r="W34" s="198" t="s">
        <v>110</v>
      </c>
      <c r="X34" s="182"/>
      <c r="Y34" s="199"/>
    </row>
    <row r="35" spans="1:25" x14ac:dyDescent="0.3">
      <c r="A35" s="96" t="s">
        <v>111</v>
      </c>
      <c r="B35" s="117"/>
      <c r="C35" s="118">
        <f>+Salvataje!D3</f>
        <v>0.34027777777777773</v>
      </c>
      <c r="D35" s="121"/>
      <c r="E35" s="97"/>
      <c r="F35" s="98">
        <f>+Salvataje!D4</f>
        <v>0.4201388888888889</v>
      </c>
      <c r="G35" s="101"/>
      <c r="H35" s="117"/>
      <c r="I35" s="118">
        <f>+Salvataje!D5</f>
        <v>0.34375</v>
      </c>
      <c r="J35" s="121"/>
      <c r="K35" s="97"/>
      <c r="L35" s="98">
        <f>+Salvataje!D6</f>
        <v>0.34027777777777773</v>
      </c>
      <c r="M35" s="101"/>
      <c r="N35" s="97"/>
      <c r="O35" s="98">
        <f>+Salvataje!D7</f>
        <v>0.34027777777777773</v>
      </c>
      <c r="P35" s="101"/>
      <c r="Q35" s="97"/>
      <c r="R35" s="100"/>
      <c r="S35" s="101"/>
      <c r="T35" s="97"/>
      <c r="U35" s="100"/>
      <c r="V35" s="102"/>
      <c r="W35" s="103" t="str">
        <f>IFERROR(AVERAGE(B35,E35,H35,K35,N35,Q35,T35),"")</f>
        <v/>
      </c>
      <c r="X35" s="104">
        <f t="shared" ref="X35:Y37" si="8">IFERROR(AVERAGE(C35,F35,I35,L35,O35,R35,U35),"")</f>
        <v>0.3569444444444444</v>
      </c>
      <c r="Y35" s="105" t="str">
        <f t="shared" si="8"/>
        <v/>
      </c>
    </row>
    <row r="36" spans="1:25" x14ac:dyDescent="0.3">
      <c r="A36" s="96" t="s">
        <v>112</v>
      </c>
      <c r="B36" s="117"/>
      <c r="C36" s="118">
        <f>+Salvataje!J3</f>
        <v>0.65625</v>
      </c>
      <c r="D36" s="121"/>
      <c r="E36" s="97"/>
      <c r="F36" s="98">
        <f>+Salvataje!J4</f>
        <v>0.65972222222222221</v>
      </c>
      <c r="G36" s="101"/>
      <c r="H36" s="117"/>
      <c r="I36" s="118">
        <f>+Salvataje!J5</f>
        <v>0.65972222222222221</v>
      </c>
      <c r="J36" s="121"/>
      <c r="K36" s="97"/>
      <c r="L36" s="98">
        <f>+Salvataje!J6</f>
        <v>0.65972222222222221</v>
      </c>
      <c r="M36" s="101"/>
      <c r="N36" s="97"/>
      <c r="O36" s="98">
        <f>+Salvataje!J7</f>
        <v>0.65972222222222221</v>
      </c>
      <c r="P36" s="101"/>
      <c r="Q36" s="97"/>
      <c r="R36" s="100"/>
      <c r="S36" s="101"/>
      <c r="T36" s="97"/>
      <c r="U36" s="100"/>
      <c r="V36" s="102"/>
      <c r="W36" s="106" t="str">
        <f>IFERROR(AVERAGE(B36,E36,H36,K36,N36,Q36,T36),"")</f>
        <v/>
      </c>
      <c r="X36" s="107">
        <f t="shared" si="8"/>
        <v>0.65902777777777788</v>
      </c>
      <c r="Y36" s="108" t="str">
        <f t="shared" si="8"/>
        <v/>
      </c>
    </row>
    <row r="37" spans="1:25" ht="16.2" thickBot="1" x14ac:dyDescent="0.35">
      <c r="A37" s="109" t="s">
        <v>113</v>
      </c>
      <c r="B37" s="127"/>
      <c r="C37" s="118">
        <f>+Salvataje!G16</f>
        <v>0.24513888888888885</v>
      </c>
      <c r="D37" s="130"/>
      <c r="E37" s="110"/>
      <c r="F37" s="98">
        <f>+Salvataje!G17</f>
        <v>0.19583333333333336</v>
      </c>
      <c r="G37" s="112"/>
      <c r="H37" s="127"/>
      <c r="I37" s="118">
        <f>+Salvataje!G18</f>
        <v>0.24513888888888891</v>
      </c>
      <c r="J37" s="130"/>
      <c r="K37" s="110"/>
      <c r="L37" s="98">
        <f>+Salvataje!G19</f>
        <v>0.24791666666666651</v>
      </c>
      <c r="M37" s="112"/>
      <c r="N37" s="110"/>
      <c r="O37" s="98">
        <f>+Salvataje!G20</f>
        <v>0.24513888888888874</v>
      </c>
      <c r="P37" s="112"/>
      <c r="Q37" s="110"/>
      <c r="R37" s="111"/>
      <c r="S37" s="112"/>
      <c r="T37" s="110"/>
      <c r="U37" s="111"/>
      <c r="V37" s="113"/>
      <c r="W37" s="114" t="str">
        <f>IFERROR(AVERAGE(B37,E37,H37,K37,N37,Q37,T37),"")</f>
        <v/>
      </c>
      <c r="X37" s="115">
        <f t="shared" si="8"/>
        <v>0.23583333333333328</v>
      </c>
      <c r="Y37" s="116" t="str">
        <f t="shared" si="8"/>
        <v/>
      </c>
    </row>
    <row r="38" spans="1:25" ht="16.2" thickBot="1" x14ac:dyDescent="0.35">
      <c r="A38" s="95" t="s">
        <v>86</v>
      </c>
      <c r="B38" s="181" t="s">
        <v>110</v>
      </c>
      <c r="C38" s="182"/>
      <c r="D38" s="183"/>
      <c r="E38" s="181" t="s">
        <v>110</v>
      </c>
      <c r="F38" s="182"/>
      <c r="G38" s="183"/>
      <c r="H38" s="181" t="s">
        <v>110</v>
      </c>
      <c r="I38" s="182"/>
      <c r="J38" s="183"/>
      <c r="K38" s="181" t="s">
        <v>110</v>
      </c>
      <c r="L38" s="182"/>
      <c r="M38" s="183"/>
      <c r="N38" s="181" t="s">
        <v>110</v>
      </c>
      <c r="O38" s="182"/>
      <c r="P38" s="183"/>
      <c r="Q38" s="181" t="s">
        <v>110</v>
      </c>
      <c r="R38" s="182"/>
      <c r="S38" s="183"/>
      <c r="T38" s="181" t="s">
        <v>110</v>
      </c>
      <c r="U38" s="182"/>
      <c r="V38" s="182"/>
      <c r="W38" s="198" t="s">
        <v>110</v>
      </c>
      <c r="X38" s="182"/>
      <c r="Y38" s="199"/>
    </row>
    <row r="39" spans="1:25" x14ac:dyDescent="0.3">
      <c r="A39" s="96" t="s">
        <v>111</v>
      </c>
      <c r="B39" s="117"/>
      <c r="C39" s="118">
        <f>+'LA JUNTA'!D3</f>
        <v>0.3263888888888889</v>
      </c>
      <c r="D39" s="121"/>
      <c r="E39" s="97"/>
      <c r="F39" s="98">
        <f>+'LA JUNTA'!D4</f>
        <v>0.39444444444444443</v>
      </c>
      <c r="G39" s="99"/>
      <c r="H39" s="117"/>
      <c r="I39" s="118">
        <f>+'LA JUNTA'!D5</f>
        <v>0.32291666666666669</v>
      </c>
      <c r="J39" s="119"/>
      <c r="K39" s="97"/>
      <c r="L39" s="98">
        <f>+'LA JUNTA'!D6</f>
        <v>0.3298611111111111</v>
      </c>
      <c r="M39" s="99"/>
      <c r="N39" s="97"/>
      <c r="O39" s="98">
        <f>+'LA JUNTA'!D7</f>
        <v>0.31597222222222221</v>
      </c>
      <c r="P39" s="99"/>
      <c r="Q39" s="97"/>
      <c r="R39" s="100"/>
      <c r="S39" s="101"/>
      <c r="T39" s="97"/>
      <c r="U39" s="100"/>
      <c r="V39" s="102"/>
      <c r="W39" s="103" t="str">
        <f>IFERROR(AVERAGE(B39,E39,H39,K39,N39,Q39,T39),"")</f>
        <v/>
      </c>
      <c r="X39" s="104">
        <f>IFERROR(AVERAGE(C39,F39,I39,L39,O39,R39,U39),"")</f>
        <v>0.33791666666666664</v>
      </c>
      <c r="Y39" s="105" t="str">
        <f>IFERROR(AVERAGE(D39,G39,J39,M39,P39,S39,V39),"")</f>
        <v/>
      </c>
    </row>
    <row r="40" spans="1:25" x14ac:dyDescent="0.3">
      <c r="A40" s="96" t="s">
        <v>112</v>
      </c>
      <c r="B40" s="117"/>
      <c r="C40" s="118">
        <f>+'LA JUNTA'!J3</f>
        <v>0.65972222222222221</v>
      </c>
      <c r="D40" s="121"/>
      <c r="E40" s="97"/>
      <c r="F40" s="98">
        <f>+'LA JUNTA'!J4</f>
        <v>0.66319444444444442</v>
      </c>
      <c r="G40" s="99"/>
      <c r="H40" s="117"/>
      <c r="I40" s="118">
        <f>+'LA JUNTA'!J5</f>
        <v>0.65972222222222199</v>
      </c>
      <c r="J40" s="119"/>
      <c r="K40" s="97"/>
      <c r="L40" s="98">
        <f>+'LA JUNTA'!J6</f>
        <v>0.65972222222222199</v>
      </c>
      <c r="M40" s="99"/>
      <c r="N40" s="97"/>
      <c r="O40" s="98">
        <f>+'LA JUNTA'!J7</f>
        <v>0.66319444444444442</v>
      </c>
      <c r="P40" s="99"/>
      <c r="Q40" s="97"/>
      <c r="R40" s="100"/>
      <c r="S40" s="101"/>
      <c r="T40" s="97"/>
      <c r="U40" s="100"/>
      <c r="V40" s="102"/>
      <c r="W40" s="106" t="str">
        <f>IFERROR(AVERAGE(B40,E40,H40,K40,N40,Q40,T40),"")</f>
        <v/>
      </c>
      <c r="X40" s="107">
        <f t="shared" ref="X40:X41" si="9">IFERROR(AVERAGE(C40,F40,I40,L40,O40,R40,U40),"")</f>
        <v>0.66111111111111087</v>
      </c>
      <c r="Y40" s="108" t="str">
        <f>IFERROR(AVERAGE(D40,G40,J40,M40,P40,S40,V40),"")</f>
        <v/>
      </c>
    </row>
    <row r="41" spans="1:25" ht="16.2" thickBot="1" x14ac:dyDescent="0.35">
      <c r="A41" s="109" t="s">
        <v>113</v>
      </c>
      <c r="B41" s="127"/>
      <c r="C41" s="128">
        <f>+'LA JUNTA'!G16</f>
        <v>0.28611111111111109</v>
      </c>
      <c r="D41" s="130"/>
      <c r="E41" s="110"/>
      <c r="F41" s="139">
        <f>+'LA JUNTA'!G17</f>
        <v>0.21875</v>
      </c>
      <c r="G41" s="99"/>
      <c r="H41" s="127"/>
      <c r="I41" s="128">
        <f>+'LA JUNTA'!G18</f>
        <v>0.28611111111111093</v>
      </c>
      <c r="J41" s="119"/>
      <c r="K41" s="110"/>
      <c r="L41" s="139">
        <f>+'LA JUNTA'!G19</f>
        <v>0.27777777777777757</v>
      </c>
      <c r="M41" s="99"/>
      <c r="N41" s="110"/>
      <c r="O41" s="139">
        <f>+'LA JUNTA'!G20</f>
        <v>0.28680555555555554</v>
      </c>
      <c r="P41" s="99"/>
      <c r="Q41" s="110"/>
      <c r="R41" s="111"/>
      <c r="S41" s="112"/>
      <c r="T41" s="110"/>
      <c r="U41" s="111"/>
      <c r="V41" s="113"/>
      <c r="W41" s="114" t="str">
        <f>IFERROR(AVERAGE(B41,E41,H41,K41,N41,Q41,T41),"")</f>
        <v/>
      </c>
      <c r="X41" s="115">
        <f t="shared" si="9"/>
        <v>0.27111111111111103</v>
      </c>
      <c r="Y41" s="116" t="str">
        <f>IFERROR(AVERAGE(D41,G41,J41,M41,P41,S41,V41),"")</f>
        <v/>
      </c>
    </row>
    <row r="42" spans="1:25" ht="16.2" thickBot="1" x14ac:dyDescent="0.35">
      <c r="A42" s="95" t="s">
        <v>62</v>
      </c>
      <c r="B42" s="181" t="s">
        <v>110</v>
      </c>
      <c r="C42" s="182"/>
      <c r="D42" s="183"/>
      <c r="E42" s="181" t="s">
        <v>110</v>
      </c>
      <c r="F42" s="182"/>
      <c r="G42" s="183"/>
      <c r="H42" s="181" t="s">
        <v>110</v>
      </c>
      <c r="I42" s="182"/>
      <c r="J42" s="183"/>
      <c r="K42" s="181" t="s">
        <v>110</v>
      </c>
      <c r="L42" s="182"/>
      <c r="M42" s="183"/>
      <c r="N42" s="181" t="s">
        <v>110</v>
      </c>
      <c r="O42" s="182"/>
      <c r="P42" s="183"/>
      <c r="Q42" s="181" t="s">
        <v>110</v>
      </c>
      <c r="R42" s="182"/>
      <c r="S42" s="183"/>
      <c r="T42" s="181" t="s">
        <v>110</v>
      </c>
      <c r="U42" s="182"/>
      <c r="V42" s="182"/>
      <c r="W42" s="198" t="s">
        <v>110</v>
      </c>
      <c r="X42" s="182"/>
      <c r="Y42" s="199"/>
    </row>
    <row r="43" spans="1:25" x14ac:dyDescent="0.3">
      <c r="A43" s="96" t="s">
        <v>111</v>
      </c>
      <c r="B43" s="117"/>
      <c r="C43" s="174">
        <f>+AC!D3</f>
        <v>0.3125</v>
      </c>
      <c r="D43" s="174"/>
      <c r="E43" s="97"/>
      <c r="F43" s="143">
        <f>+AC!D4</f>
        <v>0.3888888888888889</v>
      </c>
      <c r="G43" s="143"/>
      <c r="H43" s="117"/>
      <c r="I43" s="174">
        <f>+AC!D5</f>
        <v>0.3125</v>
      </c>
      <c r="J43" s="174"/>
      <c r="K43" s="97"/>
      <c r="L43" s="143">
        <f>+AC!D6</f>
        <v>0.3125</v>
      </c>
      <c r="M43" s="143"/>
      <c r="N43" s="97"/>
      <c r="O43" s="143">
        <f>+AC!D7</f>
        <v>0.3125</v>
      </c>
      <c r="P43" s="143"/>
      <c r="Q43" s="97"/>
      <c r="R43" s="100"/>
      <c r="S43" s="101"/>
      <c r="T43" s="97"/>
      <c r="U43" s="100"/>
      <c r="V43" s="102"/>
      <c r="W43" s="103" t="str">
        <f>IFERROR(AVERAGE(B43,E43,H43,K43,N43,Q43,T43),"")</f>
        <v/>
      </c>
      <c r="X43" s="104">
        <f t="shared" ref="X43:Y45" si="10">IFERROR(AVERAGE(C43,F43,I43,L43,O43,R43,U43),"")</f>
        <v>0.32777777777777778</v>
      </c>
      <c r="Y43" s="104" t="str">
        <f t="shared" si="10"/>
        <v/>
      </c>
    </row>
    <row r="44" spans="1:25" x14ac:dyDescent="0.3">
      <c r="A44" s="96" t="s">
        <v>112</v>
      </c>
      <c r="B44" s="117"/>
      <c r="C44" s="118">
        <f>+AC!J3</f>
        <v>0.65972222222222221</v>
      </c>
      <c r="D44" s="118"/>
      <c r="E44" s="97"/>
      <c r="F44" s="98">
        <f>+AC!J4</f>
        <v>0.65625</v>
      </c>
      <c r="G44" s="98"/>
      <c r="H44" s="117"/>
      <c r="I44" s="118">
        <f>+AC!J5</f>
        <v>0.65625</v>
      </c>
      <c r="J44" s="118"/>
      <c r="K44" s="97"/>
      <c r="L44" s="98">
        <f>+AC!J6</f>
        <v>0.65625</v>
      </c>
      <c r="M44" s="98"/>
      <c r="N44" s="97"/>
      <c r="O44" s="98">
        <f>+AC!J7</f>
        <v>0.65625</v>
      </c>
      <c r="P44" s="98"/>
      <c r="Q44" s="97"/>
      <c r="R44" s="100"/>
      <c r="S44" s="101"/>
      <c r="T44" s="97"/>
      <c r="U44" s="100"/>
      <c r="V44" s="102"/>
      <c r="W44" s="106" t="str">
        <f>IFERROR(AVERAGE(B44,E44,H44,K44,N44,Q44,T44),"")</f>
        <v/>
      </c>
      <c r="X44" s="107">
        <f t="shared" si="10"/>
        <v>0.65694444444444444</v>
      </c>
      <c r="Y44" s="107" t="str">
        <f t="shared" si="10"/>
        <v/>
      </c>
    </row>
    <row r="45" spans="1:25" ht="16.2" thickBot="1" x14ac:dyDescent="0.35">
      <c r="A45" s="109" t="s">
        <v>113</v>
      </c>
      <c r="B45" s="127"/>
      <c r="C45" s="128">
        <f>+AC!G16</f>
        <v>0.26527777777777778</v>
      </c>
      <c r="D45" s="128"/>
      <c r="E45" s="110"/>
      <c r="F45" s="139">
        <f>+AC!G17</f>
        <v>0.21736111111111112</v>
      </c>
      <c r="G45" s="139"/>
      <c r="H45" s="127"/>
      <c r="I45" s="128">
        <f>+AC!G18</f>
        <v>0.25902777777777775</v>
      </c>
      <c r="J45" s="128"/>
      <c r="K45" s="110"/>
      <c r="L45" s="139">
        <f>+AC!G19</f>
        <v>0.26944444444444443</v>
      </c>
      <c r="M45" s="139"/>
      <c r="N45" s="110"/>
      <c r="O45" s="139">
        <f>+AC!G20</f>
        <v>0.27708333333333318</v>
      </c>
      <c r="P45" s="139"/>
      <c r="Q45" s="110"/>
      <c r="R45" s="111"/>
      <c r="S45" s="112"/>
      <c r="T45" s="110"/>
      <c r="U45" s="111"/>
      <c r="V45" s="113"/>
      <c r="W45" s="114" t="str">
        <f>IFERROR(AVERAGE(B45,E45,H45,K45,N45,Q45,T45),"")</f>
        <v/>
      </c>
      <c r="X45" s="115">
        <f t="shared" si="10"/>
        <v>0.25763888888888886</v>
      </c>
      <c r="Y45" s="115" t="str">
        <f t="shared" si="10"/>
        <v/>
      </c>
    </row>
    <row r="46" spans="1:25" ht="16.2" thickBot="1" x14ac:dyDescent="0.35">
      <c r="A46" s="95" t="s">
        <v>120</v>
      </c>
      <c r="B46" s="181" t="s">
        <v>110</v>
      </c>
      <c r="C46" s="182"/>
      <c r="D46" s="183"/>
      <c r="E46" s="181" t="s">
        <v>110</v>
      </c>
      <c r="F46" s="182"/>
      <c r="G46" s="183"/>
      <c r="H46" s="181" t="s">
        <v>110</v>
      </c>
      <c r="I46" s="182"/>
      <c r="J46" s="183"/>
      <c r="K46" s="181" t="s">
        <v>110</v>
      </c>
      <c r="L46" s="182"/>
      <c r="M46" s="183"/>
      <c r="N46" s="181" t="s">
        <v>110</v>
      </c>
      <c r="O46" s="182"/>
      <c r="P46" s="183"/>
      <c r="Q46" s="181" t="s">
        <v>110</v>
      </c>
      <c r="R46" s="182"/>
      <c r="S46" s="183"/>
      <c r="T46" s="181" t="s">
        <v>110</v>
      </c>
      <c r="U46" s="182"/>
      <c r="V46" s="182"/>
      <c r="W46" s="198" t="s">
        <v>110</v>
      </c>
      <c r="X46" s="182"/>
      <c r="Y46" s="199"/>
    </row>
    <row r="47" spans="1:25" x14ac:dyDescent="0.3">
      <c r="A47" s="96" t="s">
        <v>111</v>
      </c>
      <c r="B47" s="117"/>
      <c r="C47" s="118"/>
      <c r="D47" s="118">
        <f>+Colec!D3</f>
        <v>0.64583333333333337</v>
      </c>
      <c r="E47" s="117"/>
      <c r="F47" s="118"/>
      <c r="G47" s="118">
        <f>+Colec!D4</f>
        <v>0.64583333333333337</v>
      </c>
      <c r="H47" s="117"/>
      <c r="I47" s="118"/>
      <c r="J47" s="118">
        <f>+Colec!D5</f>
        <v>0.64583333333333337</v>
      </c>
      <c r="K47" s="117"/>
      <c r="L47" s="118"/>
      <c r="M47" s="118">
        <f>+Colec!D6</f>
        <v>0.64583333333333337</v>
      </c>
      <c r="N47" s="117"/>
      <c r="O47" s="118"/>
      <c r="P47" s="118">
        <f>+Colec!D7</f>
        <v>0.64583333333333337</v>
      </c>
      <c r="Q47" s="117"/>
      <c r="R47" s="120"/>
      <c r="S47" s="121"/>
      <c r="T47" s="117"/>
      <c r="U47" s="120"/>
      <c r="V47" s="122"/>
      <c r="W47" s="123" t="str">
        <f>IFERROR(AVERAGE(B47,E47,H47,K47,N47,Q47,T47),"")</f>
        <v/>
      </c>
      <c r="X47" s="124" t="str">
        <f t="shared" ref="X47:Y49" si="11">IFERROR(AVERAGE(C47,F47,I47,L47,O47,R47,U47),"")</f>
        <v/>
      </c>
      <c r="Y47" s="124">
        <f t="shared" si="11"/>
        <v>0.64583333333333337</v>
      </c>
    </row>
    <row r="48" spans="1:25" x14ac:dyDescent="0.3">
      <c r="A48" s="96" t="s">
        <v>112</v>
      </c>
      <c r="B48" s="117"/>
      <c r="C48" s="118"/>
      <c r="D48" s="118">
        <f>+Colec!J3</f>
        <v>0.98263888888888884</v>
      </c>
      <c r="E48" s="117"/>
      <c r="F48" s="118"/>
      <c r="G48" s="118">
        <f>+Colec!J4</f>
        <v>0.97916666666666663</v>
      </c>
      <c r="H48" s="117"/>
      <c r="I48" s="118"/>
      <c r="J48" s="118">
        <f>+Colec!J5</f>
        <v>0.98611111111111116</v>
      </c>
      <c r="K48" s="117"/>
      <c r="L48" s="118"/>
      <c r="M48" s="118">
        <f>+Colec!J6</f>
        <v>0.98958333333333337</v>
      </c>
      <c r="N48" s="117"/>
      <c r="O48" s="118"/>
      <c r="P48" s="118">
        <f>+Colec!J7</f>
        <v>0.98611111111111116</v>
      </c>
      <c r="Q48" s="117"/>
      <c r="R48" s="120"/>
      <c r="S48" s="121"/>
      <c r="T48" s="117"/>
      <c r="U48" s="120"/>
      <c r="V48" s="122"/>
      <c r="W48" s="125" t="str">
        <f>IFERROR(AVERAGE(B48,E48,H48,K48,N48,Q48,T48),"")</f>
        <v/>
      </c>
      <c r="X48" s="126" t="str">
        <f t="shared" si="11"/>
        <v/>
      </c>
      <c r="Y48" s="126">
        <f t="shared" si="11"/>
        <v>0.98472222222222217</v>
      </c>
    </row>
    <row r="49" spans="1:25" ht="16.2" thickBot="1" x14ac:dyDescent="0.35">
      <c r="A49" s="109" t="s">
        <v>113</v>
      </c>
      <c r="B49" s="127"/>
      <c r="C49" s="118"/>
      <c r="D49" s="118">
        <f>+Colec!G16</f>
        <v>0.23819444444444438</v>
      </c>
      <c r="E49" s="127"/>
      <c r="F49" s="118"/>
      <c r="G49" s="118">
        <f>+Colec!G17</f>
        <v>0.25138888888888877</v>
      </c>
      <c r="H49" s="127"/>
      <c r="I49" s="118"/>
      <c r="J49" s="118">
        <f>+Colec!G18</f>
        <v>0.26250000000000029</v>
      </c>
      <c r="K49" s="127"/>
      <c r="L49" s="118"/>
      <c r="M49" s="118">
        <f>+Colec!G19</f>
        <v>0.26597222222222217</v>
      </c>
      <c r="N49" s="127"/>
      <c r="O49" s="118"/>
      <c r="P49" s="118">
        <f>+Colec!G20</f>
        <v>0.25694444444444453</v>
      </c>
      <c r="Q49" s="127"/>
      <c r="R49" s="129"/>
      <c r="S49" s="130"/>
      <c r="T49" s="127"/>
      <c r="U49" s="129"/>
      <c r="V49" s="131"/>
      <c r="W49" s="132" t="str">
        <f>IFERROR(AVERAGE(B49,E49,H49,K49,N49,Q49,T49),"")</f>
        <v/>
      </c>
      <c r="X49" s="133" t="str">
        <f t="shared" si="11"/>
        <v/>
      </c>
      <c r="Y49" s="133">
        <f t="shared" si="11"/>
        <v>0.25500000000000006</v>
      </c>
    </row>
    <row r="50" spans="1:25" ht="16.2" thickBot="1" x14ac:dyDescent="0.35">
      <c r="A50" s="95" t="s">
        <v>61</v>
      </c>
      <c r="B50" s="181" t="s">
        <v>110</v>
      </c>
      <c r="C50" s="182"/>
      <c r="D50" s="183"/>
      <c r="E50" s="181" t="s">
        <v>110</v>
      </c>
      <c r="F50" s="182"/>
      <c r="G50" s="183"/>
      <c r="H50" s="181" t="s">
        <v>110</v>
      </c>
      <c r="I50" s="182"/>
      <c r="J50" s="183"/>
      <c r="K50" s="181" t="s">
        <v>110</v>
      </c>
      <c r="L50" s="182"/>
      <c r="M50" s="183"/>
      <c r="N50" s="181" t="s">
        <v>110</v>
      </c>
      <c r="O50" s="182"/>
      <c r="P50" s="183"/>
      <c r="Q50" s="181" t="s">
        <v>110</v>
      </c>
      <c r="R50" s="182"/>
      <c r="S50" s="183"/>
      <c r="T50" s="181" t="s">
        <v>110</v>
      </c>
      <c r="U50" s="182"/>
      <c r="V50" s="182"/>
      <c r="W50" s="198" t="s">
        <v>110</v>
      </c>
      <c r="X50" s="182"/>
      <c r="Y50" s="199"/>
    </row>
    <row r="51" spans="1:25" x14ac:dyDescent="0.3">
      <c r="A51" s="96" t="s">
        <v>111</v>
      </c>
      <c r="B51" s="117"/>
      <c r="C51" s="119">
        <f>+'P M'!D3</f>
        <v>0.3125</v>
      </c>
      <c r="D51" s="119"/>
      <c r="E51" s="97"/>
      <c r="F51" s="143">
        <f>+'P M'!D4</f>
        <v>0.39583333333333331</v>
      </c>
      <c r="G51" s="143"/>
      <c r="H51" s="117"/>
      <c r="I51" s="174">
        <f>+'P M'!D5</f>
        <v>0.3125</v>
      </c>
      <c r="J51" s="174"/>
      <c r="K51" s="97"/>
      <c r="L51" s="143">
        <f>+'P M'!D6</f>
        <v>0.30902777777777779</v>
      </c>
      <c r="M51" s="143"/>
      <c r="N51" s="97"/>
      <c r="O51" s="143"/>
      <c r="P51" s="143">
        <f>+'P M'!D7</f>
        <v>0.3125</v>
      </c>
      <c r="Q51" s="97"/>
      <c r="R51" s="100"/>
      <c r="S51" s="101"/>
      <c r="T51" s="97"/>
      <c r="U51" s="100"/>
      <c r="V51" s="102"/>
      <c r="W51" s="103" t="str">
        <f>IFERROR(AVERAGE(B51,E51,H51,K51,N51,Q51,T51),"")</f>
        <v/>
      </c>
      <c r="X51" s="104">
        <f t="shared" ref="X51:Y53" si="12">IFERROR(AVERAGE(C51,F51,I51,L51,O51,R51,U51),"")</f>
        <v>0.33246527777777779</v>
      </c>
      <c r="Y51" s="104">
        <f t="shared" si="12"/>
        <v>0.3125</v>
      </c>
    </row>
    <row r="52" spans="1:25" x14ac:dyDescent="0.3">
      <c r="A52" s="96" t="s">
        <v>112</v>
      </c>
      <c r="B52" s="117"/>
      <c r="C52" s="119">
        <f>+'P M'!J3</f>
        <v>0.65277777777777779</v>
      </c>
      <c r="D52" s="119"/>
      <c r="E52" s="97"/>
      <c r="F52" s="98">
        <f>+'P M'!J4</f>
        <v>0.65277777777777779</v>
      </c>
      <c r="G52" s="98"/>
      <c r="H52" s="117"/>
      <c r="I52" s="118">
        <f>+'P M'!J5</f>
        <v>0.65277777777777779</v>
      </c>
      <c r="J52" s="118"/>
      <c r="K52" s="97"/>
      <c r="L52" s="98">
        <f>+'P M'!J6</f>
        <v>0.64930555555555558</v>
      </c>
      <c r="M52" s="98"/>
      <c r="N52" s="97"/>
      <c r="O52" s="98"/>
      <c r="P52" s="98">
        <f>+'P M'!J7</f>
        <v>0.65277777777777779</v>
      </c>
      <c r="Q52" s="97"/>
      <c r="R52" s="100"/>
      <c r="S52" s="101"/>
      <c r="T52" s="97"/>
      <c r="U52" s="100"/>
      <c r="V52" s="102"/>
      <c r="W52" s="106" t="str">
        <f>IFERROR(AVERAGE(B52,E52,H52,K52,N52,Q52,T52),"")</f>
        <v/>
      </c>
      <c r="X52" s="107">
        <f t="shared" si="12"/>
        <v>0.65190972222222232</v>
      </c>
      <c r="Y52" s="107">
        <f t="shared" si="12"/>
        <v>0.65277777777777779</v>
      </c>
    </row>
    <row r="53" spans="1:25" ht="16.2" thickBot="1" x14ac:dyDescent="0.35">
      <c r="A53" s="109" t="s">
        <v>113</v>
      </c>
      <c r="B53" s="127"/>
      <c r="C53" s="119">
        <f>+'P M'!G16</f>
        <v>0.24861111111111117</v>
      </c>
      <c r="D53" s="119"/>
      <c r="E53" s="110"/>
      <c r="F53" s="139">
        <f>+'P M'!G17</f>
        <v>0.21041666666666664</v>
      </c>
      <c r="G53" s="139"/>
      <c r="H53" s="127"/>
      <c r="I53" s="128">
        <f>+'P M'!G18</f>
        <v>0.24999999999999994</v>
      </c>
      <c r="J53" s="128"/>
      <c r="K53" s="110"/>
      <c r="L53" s="139">
        <f>+'P M'!G19</f>
        <v>0.25138888888888894</v>
      </c>
      <c r="M53" s="139"/>
      <c r="N53" s="110"/>
      <c r="O53" s="139"/>
      <c r="P53" s="139">
        <f>+'P M'!G20</f>
        <v>0.25694444444444448</v>
      </c>
      <c r="Q53" s="110"/>
      <c r="R53" s="111"/>
      <c r="S53" s="112"/>
      <c r="T53" s="110"/>
      <c r="U53" s="111"/>
      <c r="V53" s="113"/>
      <c r="W53" s="114" t="str">
        <f>IFERROR(AVERAGE(B53,E53,H53,K53,N53,Q53,T53),"")</f>
        <v/>
      </c>
      <c r="X53" s="115">
        <f t="shared" si="12"/>
        <v>0.24010416666666667</v>
      </c>
      <c r="Y53" s="115">
        <f t="shared" si="12"/>
        <v>0.25694444444444448</v>
      </c>
    </row>
    <row r="54" spans="1:25" ht="16.2" thickBot="1" x14ac:dyDescent="0.35">
      <c r="A54" s="95" t="s">
        <v>82</v>
      </c>
      <c r="B54" s="181" t="s">
        <v>110</v>
      </c>
      <c r="C54" s="182"/>
      <c r="D54" s="183"/>
      <c r="E54" s="181" t="s">
        <v>110</v>
      </c>
      <c r="F54" s="182"/>
      <c r="G54" s="183"/>
      <c r="H54" s="181" t="s">
        <v>110</v>
      </c>
      <c r="I54" s="182"/>
      <c r="J54" s="183"/>
      <c r="K54" s="181" t="s">
        <v>110</v>
      </c>
      <c r="L54" s="182"/>
      <c r="M54" s="183"/>
      <c r="N54" s="181" t="s">
        <v>110</v>
      </c>
      <c r="O54" s="182"/>
      <c r="P54" s="183"/>
      <c r="Q54" s="181" t="s">
        <v>110</v>
      </c>
      <c r="R54" s="182"/>
      <c r="S54" s="183"/>
      <c r="T54" s="181" t="s">
        <v>110</v>
      </c>
      <c r="U54" s="182"/>
      <c r="V54" s="182"/>
      <c r="W54" s="198" t="s">
        <v>110</v>
      </c>
      <c r="X54" s="182"/>
      <c r="Y54" s="199"/>
    </row>
    <row r="55" spans="1:25" x14ac:dyDescent="0.3">
      <c r="A55" s="96" t="s">
        <v>111</v>
      </c>
      <c r="B55" s="117"/>
      <c r="C55" s="118"/>
      <c r="D55" s="118">
        <f>+'Vent '!D3</f>
        <v>0.64583333333333337</v>
      </c>
      <c r="E55" s="117"/>
      <c r="F55" s="118"/>
      <c r="G55" s="118">
        <f>+'Vent '!D4</f>
        <v>0.64583333333333337</v>
      </c>
      <c r="H55" s="117"/>
      <c r="I55" s="118"/>
      <c r="J55" s="118">
        <f>+'Vent '!G5</f>
        <v>0.90277777777777779</v>
      </c>
      <c r="K55" s="117"/>
      <c r="L55" s="118"/>
      <c r="M55" s="118">
        <f>+'Vent '!D6</f>
        <v>0.64583333333333337</v>
      </c>
      <c r="N55" s="117"/>
      <c r="O55" s="118"/>
      <c r="P55" s="118">
        <f>+'Vent '!D7</f>
        <v>0.64583333333333337</v>
      </c>
      <c r="Q55" s="117"/>
      <c r="R55" s="120"/>
      <c r="S55" s="121"/>
      <c r="T55" s="117"/>
      <c r="U55" s="120"/>
      <c r="V55" s="122"/>
      <c r="W55" s="123" t="str">
        <f>IFERROR(AVERAGE(B55,E55,H55,K55,N55,Q55,T55),"")</f>
        <v/>
      </c>
      <c r="X55" s="124" t="str">
        <f t="shared" ref="X55:Y57" si="13">IFERROR(AVERAGE(C55,F55,I55,L55,O55,R55,U55),"")</f>
        <v/>
      </c>
      <c r="Y55" s="148">
        <f t="shared" si="13"/>
        <v>0.6972222222222223</v>
      </c>
    </row>
    <row r="56" spans="1:25" x14ac:dyDescent="0.3">
      <c r="A56" s="96" t="s">
        <v>112</v>
      </c>
      <c r="B56" s="117"/>
      <c r="C56" s="118"/>
      <c r="D56" s="118">
        <f>+'Vent '!J3</f>
        <v>0.97916666666666663</v>
      </c>
      <c r="E56" s="117"/>
      <c r="F56" s="118"/>
      <c r="G56" s="118">
        <f>+'Vent '!J4</f>
        <v>0.97916666666666663</v>
      </c>
      <c r="H56" s="117"/>
      <c r="I56" s="118"/>
      <c r="J56" s="118">
        <f>+'Vent '!J5</f>
        <v>0.97916666666666663</v>
      </c>
      <c r="K56" s="117"/>
      <c r="L56" s="118"/>
      <c r="M56" s="118">
        <f>+'Vent '!J6</f>
        <v>0.97916666666666663</v>
      </c>
      <c r="N56" s="117"/>
      <c r="O56" s="118"/>
      <c r="P56" s="118">
        <f>+'Vent '!J7</f>
        <v>0.97916666666666663</v>
      </c>
      <c r="Q56" s="117"/>
      <c r="R56" s="120"/>
      <c r="S56" s="121"/>
      <c r="T56" s="117"/>
      <c r="U56" s="120"/>
      <c r="V56" s="122"/>
      <c r="W56" s="125" t="str">
        <f>IFERROR(AVERAGE(B56,E56,H56,K56,N56,Q56,T56),"")</f>
        <v/>
      </c>
      <c r="X56" s="126" t="str">
        <f t="shared" si="13"/>
        <v/>
      </c>
      <c r="Y56" s="149">
        <f t="shared" si="13"/>
        <v>0.97916666666666663</v>
      </c>
    </row>
    <row r="57" spans="1:25" ht="16.2" thickBot="1" x14ac:dyDescent="0.35">
      <c r="A57" s="109" t="s">
        <v>113</v>
      </c>
      <c r="B57" s="127"/>
      <c r="C57" s="118"/>
      <c r="D57" s="118">
        <f>+'Vent '!G16</f>
        <v>0.23611111111111116</v>
      </c>
      <c r="E57" s="127"/>
      <c r="F57" s="118"/>
      <c r="G57" s="118">
        <f>+'Vent '!G17</f>
        <v>0.2465277777777779</v>
      </c>
      <c r="H57" s="127"/>
      <c r="I57" s="118"/>
      <c r="J57" s="118">
        <f>+'Vent '!G18</f>
        <v>0.24652777777777768</v>
      </c>
      <c r="K57" s="127"/>
      <c r="L57" s="118"/>
      <c r="M57" s="118">
        <f>+'Vent '!G19</f>
        <v>0.25</v>
      </c>
      <c r="N57" s="127"/>
      <c r="O57" s="118"/>
      <c r="P57" s="118">
        <f>+'Vent '!G20</f>
        <v>0.25694444444444442</v>
      </c>
      <c r="Q57" s="127"/>
      <c r="R57" s="129"/>
      <c r="S57" s="130"/>
      <c r="T57" s="127"/>
      <c r="U57" s="129"/>
      <c r="V57" s="131"/>
      <c r="W57" s="132" t="str">
        <f>IFERROR(AVERAGE(B57,E57,H57,K57,N57,Q57,T57),"")</f>
        <v/>
      </c>
      <c r="X57" s="133" t="str">
        <f t="shared" si="13"/>
        <v/>
      </c>
      <c r="Y57" s="150">
        <f>IFERROR(AVERAGE(D57,G57,J57,M57,P57,S57,V57),"")</f>
        <v>0.24722222222222223</v>
      </c>
    </row>
    <row r="58" spans="1:25" ht="16.2" thickBot="1" x14ac:dyDescent="0.35">
      <c r="A58" s="95" t="s">
        <v>121</v>
      </c>
      <c r="B58" s="181" t="s">
        <v>110</v>
      </c>
      <c r="C58" s="182"/>
      <c r="D58" s="183"/>
      <c r="E58" s="181" t="s">
        <v>110</v>
      </c>
      <c r="F58" s="182"/>
      <c r="G58" s="183"/>
      <c r="H58" s="181" t="s">
        <v>110</v>
      </c>
      <c r="I58" s="182"/>
      <c r="J58" s="183"/>
      <c r="K58" s="181" t="s">
        <v>110</v>
      </c>
      <c r="L58" s="182"/>
      <c r="M58" s="183"/>
      <c r="N58" s="181" t="s">
        <v>110</v>
      </c>
      <c r="O58" s="182"/>
      <c r="P58" s="183"/>
      <c r="Q58" s="181" t="s">
        <v>110</v>
      </c>
      <c r="R58" s="182"/>
      <c r="S58" s="183"/>
      <c r="T58" s="181" t="s">
        <v>110</v>
      </c>
      <c r="U58" s="182"/>
      <c r="V58" s="182"/>
      <c r="W58" s="198" t="s">
        <v>110</v>
      </c>
      <c r="X58" s="182"/>
      <c r="Y58" s="183"/>
    </row>
    <row r="59" spans="1:25" x14ac:dyDescent="0.3">
      <c r="A59" s="96" t="s">
        <v>111</v>
      </c>
      <c r="B59" s="117"/>
      <c r="C59" s="118">
        <f>+ACCU!D3</f>
        <v>0.33333333333333331</v>
      </c>
      <c r="D59" s="121"/>
      <c r="E59" s="97"/>
      <c r="F59" s="98">
        <f>+ACCU!D4</f>
        <v>0.40625</v>
      </c>
      <c r="G59" s="101"/>
      <c r="H59" s="117"/>
      <c r="I59" s="118">
        <f>+ACCU!D5</f>
        <v>0.33680555555555558</v>
      </c>
      <c r="J59" s="121"/>
      <c r="K59" s="97"/>
      <c r="L59" s="98">
        <f>+ACCU!D6</f>
        <v>0.33680555555555558</v>
      </c>
      <c r="M59" s="101"/>
      <c r="N59" s="97"/>
      <c r="O59" s="98">
        <f>+ACCU!D7</f>
        <v>0.33333333333333331</v>
      </c>
      <c r="P59" s="101"/>
      <c r="Q59" s="97"/>
      <c r="R59" s="100"/>
      <c r="S59" s="101"/>
      <c r="T59" s="97"/>
      <c r="U59" s="100"/>
      <c r="V59" s="102"/>
      <c r="W59" s="103" t="str">
        <f>IFERROR(AVERAGE(B59,E59,H59,K59,N59,Q59,T59),"")</f>
        <v/>
      </c>
      <c r="X59" s="104">
        <f t="shared" ref="X59:Y61" si="14">IFERROR(AVERAGE(C59,F59,I59,L59,O59,R59,U59),"")</f>
        <v>0.34930555555555554</v>
      </c>
      <c r="Y59" s="140" t="str">
        <f t="shared" si="14"/>
        <v/>
      </c>
    </row>
    <row r="60" spans="1:25" x14ac:dyDescent="0.3">
      <c r="A60" s="96" t="s">
        <v>112</v>
      </c>
      <c r="B60" s="117"/>
      <c r="C60" s="118">
        <f>+ACCU!J3</f>
        <v>0.83333333333333337</v>
      </c>
      <c r="D60" s="121"/>
      <c r="E60" s="97"/>
      <c r="F60" s="98">
        <f>+ACCU!J4</f>
        <v>0.83333333333333337</v>
      </c>
      <c r="G60" s="101"/>
      <c r="H60" s="117"/>
      <c r="I60" s="118">
        <f>+ACCU!J5</f>
        <v>0.83333333333333304</v>
      </c>
      <c r="J60" s="121"/>
      <c r="K60" s="97"/>
      <c r="L60" s="98">
        <f>+ACCU!J6</f>
        <v>0.83333333333333304</v>
      </c>
      <c r="M60" s="101"/>
      <c r="N60" s="97"/>
      <c r="O60" s="98">
        <f>+ACCU!J7</f>
        <v>0.83333333333333304</v>
      </c>
      <c r="P60" s="101"/>
      <c r="Q60" s="97"/>
      <c r="R60" s="100"/>
      <c r="S60" s="101"/>
      <c r="T60" s="97"/>
      <c r="U60" s="100"/>
      <c r="V60" s="102"/>
      <c r="W60" s="106" t="str">
        <f>IFERROR(AVERAGE(B60,E60,H60,K60,N60,Q60,T60),"")</f>
        <v/>
      </c>
      <c r="X60" s="107">
        <f t="shared" si="14"/>
        <v>0.83333333333333326</v>
      </c>
      <c r="Y60" s="141" t="str">
        <f t="shared" si="14"/>
        <v/>
      </c>
    </row>
    <row r="61" spans="1:25" ht="16.2" thickBot="1" x14ac:dyDescent="0.35">
      <c r="A61" s="109" t="s">
        <v>113</v>
      </c>
      <c r="B61" s="127"/>
      <c r="C61" s="128">
        <f>+ACCU!G16</f>
        <v>0.4513888888888889</v>
      </c>
      <c r="D61" s="130"/>
      <c r="E61" s="110"/>
      <c r="F61" s="139">
        <f>+ACCU!G17</f>
        <v>0.38194444444444453</v>
      </c>
      <c r="G61" s="112"/>
      <c r="H61" s="127"/>
      <c r="I61" s="128">
        <f>+ACCU!G18</f>
        <v>0.44722222222222197</v>
      </c>
      <c r="J61" s="130"/>
      <c r="K61" s="110"/>
      <c r="L61" s="139">
        <f>+ACCU!G19</f>
        <v>0.43888888888888866</v>
      </c>
      <c r="M61" s="112"/>
      <c r="N61" s="110"/>
      <c r="O61" s="139">
        <f>+ACCU!G20</f>
        <v>0.44097222222222182</v>
      </c>
      <c r="P61" s="112"/>
      <c r="Q61" s="110"/>
      <c r="R61" s="111"/>
      <c r="S61" s="112"/>
      <c r="T61" s="110"/>
      <c r="U61" s="111"/>
      <c r="V61" s="113"/>
      <c r="W61" s="114" t="str">
        <f>IFERROR(AVERAGE(B61,E61,H61,K61,N61,Q61,T61),"")</f>
        <v/>
      </c>
      <c r="X61" s="115">
        <f>IFERROR(AVERAGE(C61,F61,I61,L61,O61,R61,U61),"")</f>
        <v>0.43208333333333321</v>
      </c>
      <c r="Y61" s="142" t="str">
        <f t="shared" si="14"/>
        <v/>
      </c>
    </row>
  </sheetData>
  <mergeCells count="120"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B26:D26"/>
    <mergeCell ref="E26:G26"/>
    <mergeCell ref="H26:J26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T14:V14"/>
    <mergeCell ref="W14:Y14"/>
    <mergeCell ref="K26:M26"/>
    <mergeCell ref="N26:P26"/>
    <mergeCell ref="Q26:S26"/>
    <mergeCell ref="T26:V26"/>
    <mergeCell ref="W26:Y26"/>
    <mergeCell ref="Q18:S18"/>
    <mergeCell ref="T18:V18"/>
    <mergeCell ref="W18:Y18"/>
    <mergeCell ref="T4:V4"/>
    <mergeCell ref="W4:Y4"/>
    <mergeCell ref="B4:D4"/>
    <mergeCell ref="E4:G4"/>
    <mergeCell ref="H4:J4"/>
    <mergeCell ref="B6:D6"/>
    <mergeCell ref="E6:G6"/>
    <mergeCell ref="H6:J6"/>
    <mergeCell ref="K10:M10"/>
    <mergeCell ref="N10:P10"/>
    <mergeCell ref="Q10:S10"/>
    <mergeCell ref="T10:V10"/>
    <mergeCell ref="W10:Y10"/>
    <mergeCell ref="K6:M6"/>
    <mergeCell ref="N6:P6"/>
    <mergeCell ref="Q6:S6"/>
    <mergeCell ref="T6:V6"/>
    <mergeCell ref="W6:Y6"/>
    <mergeCell ref="B10:D10"/>
    <mergeCell ref="E10:G10"/>
    <mergeCell ref="H10:J10"/>
    <mergeCell ref="B14:D14"/>
    <mergeCell ref="E14:G14"/>
    <mergeCell ref="H14:J14"/>
    <mergeCell ref="K4:M4"/>
    <mergeCell ref="N4:P4"/>
    <mergeCell ref="Q4:S4"/>
    <mergeCell ref="K14:M14"/>
    <mergeCell ref="N14:P14"/>
    <mergeCell ref="Q14:S14"/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C11"/>
  <sheetViews>
    <sheetView topLeftCell="A4" workbookViewId="0">
      <selection activeCell="Y19" sqref="Y19"/>
    </sheetView>
  </sheetViews>
  <sheetFormatPr baseColWidth="10" defaultRowHeight="15.6" x14ac:dyDescent="0.3"/>
  <cols>
    <col min="1" max="1" width="3.09765625" customWidth="1"/>
    <col min="2" max="2" width="28.8984375" bestFit="1" customWidth="1"/>
    <col min="3" max="24" width="3.3984375" customWidth="1"/>
    <col min="25" max="25" width="4.19921875" customWidth="1"/>
    <col min="26" max="26" width="3.3984375" customWidth="1"/>
    <col min="27" max="27" width="15" bestFit="1" customWidth="1"/>
    <col min="29" max="29" width="12.19921875" customWidth="1"/>
  </cols>
  <sheetData>
    <row r="6" spans="2:29" ht="16.2" thickBot="1" x14ac:dyDescent="0.35"/>
    <row r="7" spans="2:29" ht="16.2" thickBot="1" x14ac:dyDescent="0.35">
      <c r="B7" s="156"/>
      <c r="C7" s="205">
        <f>'TTE 6 '!C3</f>
        <v>44886</v>
      </c>
      <c r="D7" s="206"/>
      <c r="E7" s="206"/>
      <c r="F7" s="205">
        <f>+'TTE 6 '!C4</f>
        <v>44887</v>
      </c>
      <c r="G7" s="206"/>
      <c r="H7" s="206"/>
      <c r="I7" s="205">
        <f>'TTE 6 '!C5</f>
        <v>44888</v>
      </c>
      <c r="J7" s="206"/>
      <c r="K7" s="206"/>
      <c r="L7" s="205">
        <f>'TTE 6 '!C6</f>
        <v>44889</v>
      </c>
      <c r="M7" s="206"/>
      <c r="N7" s="206"/>
      <c r="O7" s="205">
        <f>+'TTE 6 '!C7</f>
        <v>44890</v>
      </c>
      <c r="P7" s="206"/>
      <c r="Q7" s="206"/>
      <c r="R7" s="205">
        <f>'TTE 6 '!C8</f>
        <v>44891</v>
      </c>
      <c r="S7" s="206"/>
      <c r="T7" s="206"/>
      <c r="U7" s="205">
        <f>'TTE 6 '!C9</f>
        <v>44892</v>
      </c>
      <c r="V7" s="206"/>
      <c r="W7" s="206"/>
      <c r="X7" s="210" t="s">
        <v>107</v>
      </c>
      <c r="Y7" s="211"/>
      <c r="Z7" s="212"/>
      <c r="AA7" s="203" t="s">
        <v>122</v>
      </c>
      <c r="AC7" s="207" t="s">
        <v>128</v>
      </c>
    </row>
    <row r="8" spans="2:29" ht="16.2" thickBot="1" x14ac:dyDescent="0.35">
      <c r="B8" s="156"/>
      <c r="C8" s="161" t="s">
        <v>108</v>
      </c>
      <c r="D8" s="162" t="s">
        <v>103</v>
      </c>
      <c r="E8" s="163" t="s">
        <v>104</v>
      </c>
      <c r="F8" s="161" t="s">
        <v>108</v>
      </c>
      <c r="G8" s="162" t="s">
        <v>103</v>
      </c>
      <c r="H8" s="163" t="s">
        <v>104</v>
      </c>
      <c r="I8" s="161" t="s">
        <v>108</v>
      </c>
      <c r="J8" s="162" t="s">
        <v>103</v>
      </c>
      <c r="K8" s="163" t="s">
        <v>104</v>
      </c>
      <c r="L8" s="161" t="s">
        <v>108</v>
      </c>
      <c r="M8" s="162" t="s">
        <v>103</v>
      </c>
      <c r="N8" s="163" t="s">
        <v>104</v>
      </c>
      <c r="O8" s="161" t="s">
        <v>108</v>
      </c>
      <c r="P8" s="162" t="s">
        <v>103</v>
      </c>
      <c r="Q8" s="163" t="s">
        <v>104</v>
      </c>
      <c r="R8" s="161" t="s">
        <v>108</v>
      </c>
      <c r="S8" s="162" t="s">
        <v>103</v>
      </c>
      <c r="T8" s="163" t="s">
        <v>104</v>
      </c>
      <c r="U8" s="161" t="s">
        <v>108</v>
      </c>
      <c r="V8" s="162" t="s">
        <v>103</v>
      </c>
      <c r="W8" s="163" t="s">
        <v>104</v>
      </c>
      <c r="X8" s="161" t="s">
        <v>108</v>
      </c>
      <c r="Y8" s="162" t="s">
        <v>103</v>
      </c>
      <c r="Z8" s="170" t="s">
        <v>104</v>
      </c>
      <c r="AA8" s="204"/>
      <c r="AC8" s="208"/>
    </row>
    <row r="9" spans="2:29" ht="16.2" thickBot="1" x14ac:dyDescent="0.35">
      <c r="B9" s="157" t="s">
        <v>123</v>
      </c>
      <c r="C9" s="200" t="s">
        <v>124</v>
      </c>
      <c r="D9" s="201"/>
      <c r="E9" s="202"/>
      <c r="F9" s="200" t="s">
        <v>124</v>
      </c>
      <c r="G9" s="201"/>
      <c r="H9" s="202"/>
      <c r="I9" s="200" t="s">
        <v>124</v>
      </c>
      <c r="J9" s="201"/>
      <c r="K9" s="202"/>
      <c r="L9" s="200" t="s">
        <v>124</v>
      </c>
      <c r="M9" s="201"/>
      <c r="N9" s="202"/>
      <c r="O9" s="200" t="s">
        <v>124</v>
      </c>
      <c r="P9" s="201"/>
      <c r="Q9" s="202"/>
      <c r="R9" s="200" t="s">
        <v>124</v>
      </c>
      <c r="S9" s="201"/>
      <c r="T9" s="202"/>
      <c r="U9" s="200" t="s">
        <v>124</v>
      </c>
      <c r="V9" s="201"/>
      <c r="W9" s="202"/>
      <c r="X9" s="200" t="s">
        <v>124</v>
      </c>
      <c r="Y9" s="201"/>
      <c r="Z9" s="201"/>
      <c r="AA9" s="158" t="s">
        <v>125</v>
      </c>
      <c r="AC9" s="209"/>
    </row>
    <row r="10" spans="2:29" ht="28.2" thickBot="1" x14ac:dyDescent="0.35">
      <c r="B10" s="159" t="s">
        <v>126</v>
      </c>
      <c r="C10" s="167"/>
      <c r="D10" s="168">
        <v>1</v>
      </c>
      <c r="E10" s="169">
        <v>0</v>
      </c>
      <c r="F10" s="167"/>
      <c r="G10" s="168">
        <v>1</v>
      </c>
      <c r="H10" s="169">
        <v>0</v>
      </c>
      <c r="I10" s="167"/>
      <c r="J10" s="168">
        <v>2</v>
      </c>
      <c r="K10" s="169">
        <v>0</v>
      </c>
      <c r="L10" s="167"/>
      <c r="M10" s="168">
        <v>4</v>
      </c>
      <c r="N10" s="169">
        <v>0</v>
      </c>
      <c r="O10" s="167"/>
      <c r="P10" s="168">
        <v>2</v>
      </c>
      <c r="Q10" s="169">
        <v>0</v>
      </c>
      <c r="R10" s="167"/>
      <c r="S10" s="168"/>
      <c r="T10" s="169"/>
      <c r="U10" s="167"/>
      <c r="V10" s="168"/>
      <c r="W10" s="169"/>
      <c r="X10" s="154">
        <f>C10+F10+I10+L10+O10+R10+U10</f>
        <v>0</v>
      </c>
      <c r="Y10" s="154">
        <f>D10+G10+J10+M10+P10+S10+V10</f>
        <v>10</v>
      </c>
      <c r="Z10" s="171">
        <f>E10+H10+K10+N10+Q10+T10+W10</f>
        <v>0</v>
      </c>
      <c r="AA10" s="173">
        <f>X10+Y10+Z10</f>
        <v>10</v>
      </c>
      <c r="AC10" s="175">
        <v>15</v>
      </c>
    </row>
    <row r="11" spans="2:29" ht="28.2" thickBot="1" x14ac:dyDescent="0.35">
      <c r="B11" s="160" t="s">
        <v>127</v>
      </c>
      <c r="C11" s="164"/>
      <c r="D11" s="165">
        <v>2</v>
      </c>
      <c r="E11" s="166">
        <v>0</v>
      </c>
      <c r="F11" s="164"/>
      <c r="G11" s="165">
        <v>3</v>
      </c>
      <c r="H11" s="166">
        <v>0</v>
      </c>
      <c r="I11" s="164"/>
      <c r="J11" s="165">
        <v>4</v>
      </c>
      <c r="K11" s="166">
        <v>0</v>
      </c>
      <c r="L11" s="164"/>
      <c r="M11" s="165">
        <v>4</v>
      </c>
      <c r="N11" s="166">
        <v>0</v>
      </c>
      <c r="O11" s="164"/>
      <c r="P11" s="165">
        <v>4</v>
      </c>
      <c r="Q11" s="166">
        <v>0</v>
      </c>
      <c r="R11" s="164"/>
      <c r="S11" s="165"/>
      <c r="T11" s="166"/>
      <c r="U11" s="164"/>
      <c r="V11" s="165"/>
      <c r="W11" s="166"/>
      <c r="X11" s="155">
        <f>C11+F11+I11+L11+O11+R11+C11</f>
        <v>0</v>
      </c>
      <c r="Y11" s="155">
        <f>D11+G11+J11+M11+P11+S11+V11</f>
        <v>17</v>
      </c>
      <c r="Z11" s="155">
        <f>E11+H11+K11+N11+Q11+T11+W11</f>
        <v>0</v>
      </c>
      <c r="AA11" s="172">
        <f>X11+Y11+Z11</f>
        <v>17</v>
      </c>
      <c r="AC11" s="176">
        <v>15</v>
      </c>
    </row>
  </sheetData>
  <mergeCells count="18">
    <mergeCell ref="L9:N9"/>
    <mergeCell ref="O9:Q9"/>
    <mergeCell ref="R9:T9"/>
    <mergeCell ref="AA7:AA8"/>
    <mergeCell ref="C7:E7"/>
    <mergeCell ref="C9:E9"/>
    <mergeCell ref="AC7:AC9"/>
    <mergeCell ref="U9:W9"/>
    <mergeCell ref="X9:Z9"/>
    <mergeCell ref="U7:W7"/>
    <mergeCell ref="F7:H7"/>
    <mergeCell ref="I7:K7"/>
    <mergeCell ref="L7:N7"/>
    <mergeCell ref="O7:Q7"/>
    <mergeCell ref="X7:Z7"/>
    <mergeCell ref="R7:T7"/>
    <mergeCell ref="F9:H9"/>
    <mergeCell ref="I9:K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8" sqref="M28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7" sqref="B27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showGridLines="0" zoomScale="60" zoomScaleNormal="60" workbookViewId="0">
      <selection activeCell="K4" sqref="K4"/>
    </sheetView>
  </sheetViews>
  <sheetFormatPr baseColWidth="10" defaultRowHeight="15.6" x14ac:dyDescent="0.3"/>
  <cols>
    <col min="1" max="1" width="11.19921875" customWidth="1"/>
    <col min="2" max="2" width="7.69921875" customWidth="1"/>
    <col min="3" max="3" width="13.59765625" customWidth="1"/>
    <col min="4" max="4" width="15.69921875" customWidth="1"/>
    <col min="5" max="5" width="14.59765625" customWidth="1"/>
    <col min="6" max="6" width="14.3984375" customWidth="1"/>
    <col min="7" max="7" width="14.59765625" customWidth="1"/>
    <col min="8" max="8" width="15.09765625" customWidth="1"/>
    <col min="9" max="9" width="14.8984375" customWidth="1"/>
    <col min="10" max="10" width="16.19921875" customWidth="1"/>
    <col min="11" max="11" width="27.19921875" customWidth="1"/>
    <col min="12" max="12" width="15.3984375" customWidth="1"/>
    <col min="13" max="14" width="11.19921875" customWidth="1"/>
    <col min="15" max="15" width="17.09765625" bestFit="1" customWidth="1"/>
    <col min="16" max="16" width="15.19921875" bestFit="1" customWidth="1"/>
    <col min="17" max="17" width="25.19921875" bestFit="1" customWidth="1"/>
    <col min="18" max="18" width="19.19921875" customWidth="1"/>
    <col min="19" max="19" width="16.09765625" customWidth="1"/>
    <col min="20" max="20" width="13.8984375" bestFit="1" customWidth="1"/>
    <col min="21" max="21" width="18.8984375" bestFit="1" customWidth="1"/>
    <col min="22" max="22" width="14.19921875" customWidth="1"/>
    <col min="23" max="29" width="13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95</v>
      </c>
      <c r="B3" s="12" t="s">
        <v>37</v>
      </c>
      <c r="C3" s="4">
        <f>+Tabla5[[#This Row],[FECHA]]</f>
        <v>44886</v>
      </c>
      <c r="D3" s="37">
        <v>0.34375</v>
      </c>
      <c r="E3" s="37">
        <v>0.3611111111111111</v>
      </c>
      <c r="F3" s="37">
        <v>0.38055555555555554</v>
      </c>
      <c r="G3" s="46">
        <v>0.60763888888888895</v>
      </c>
      <c r="H3" s="46">
        <v>0.61458333333333337</v>
      </c>
      <c r="I3" s="46">
        <v>0.63888888888888895</v>
      </c>
      <c r="J3" s="46">
        <v>0.65972222222222221</v>
      </c>
      <c r="K3" s="47" t="s">
        <v>90</v>
      </c>
      <c r="L3" s="53"/>
      <c r="M3" s="53"/>
      <c r="N3" s="52" t="s">
        <v>15</v>
      </c>
      <c r="O3" s="4">
        <f>Tabla513[[#This Row],[FECHA]]</f>
        <v>44886</v>
      </c>
      <c r="P3" s="7">
        <f>D3</f>
        <v>0.34375</v>
      </c>
      <c r="Q3" s="7">
        <f>E3-D3</f>
        <v>1.7361111111111105E-2</v>
      </c>
      <c r="R3" s="7">
        <f>F3-E3</f>
        <v>1.9444444444444431E-2</v>
      </c>
      <c r="S3" s="7">
        <f>G3-F3</f>
        <v>0.22708333333333341</v>
      </c>
      <c r="T3" s="7">
        <f>+Tabla513[[#This Row],[ALMUERZO]]-Tabla513[[#This Row],[TERMINO ACT. AM]]</f>
        <v>6.9444444444444198E-3</v>
      </c>
      <c r="U3" s="7">
        <f>+Tabla513[[#This Row],[INICIO ACTIVIDADES PM]]-Tabla513[[#This Row],[ALMUERZO]]</f>
        <v>2.430555555555558E-2</v>
      </c>
      <c r="V3" s="7">
        <f>+Tabla513[[#This Row],[TERMINO ACTIVIDADES PM]]-Tabla513[[#This Row],[INICIO ACTIVIDADES PM]]</f>
        <v>2.0833333333333259E-2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95</v>
      </c>
      <c r="B4" s="12" t="s">
        <v>26</v>
      </c>
      <c r="C4" s="4">
        <f>+Tabla5[[#This Row],[FECHA]]</f>
        <v>44887</v>
      </c>
      <c r="D4" s="37">
        <v>0.41319444444444442</v>
      </c>
      <c r="E4" s="37">
        <v>0.42499999999999999</v>
      </c>
      <c r="F4" s="37">
        <v>0.43402777777777773</v>
      </c>
      <c r="G4" s="46">
        <v>0.60069444444444442</v>
      </c>
      <c r="H4" s="46">
        <v>0.60416666666666663</v>
      </c>
      <c r="I4" s="46">
        <v>0.62847222222222221</v>
      </c>
      <c r="J4" s="46">
        <v>0.65972222222222221</v>
      </c>
      <c r="K4" s="47" t="s">
        <v>129</v>
      </c>
      <c r="M4" s="5"/>
      <c r="N4" s="5" t="s">
        <v>16</v>
      </c>
      <c r="O4" s="4">
        <f>Tabla513[[#This Row],[FECHA]]</f>
        <v>44887</v>
      </c>
      <c r="P4" s="7">
        <f>D4</f>
        <v>0.41319444444444442</v>
      </c>
      <c r="Q4" s="7">
        <f t="shared" ref="Q4:S7" si="0">E4-D4</f>
        <v>1.1805555555555569E-2</v>
      </c>
      <c r="R4" s="7">
        <f t="shared" si="0"/>
        <v>9.0277777777777457E-3</v>
      </c>
      <c r="S4" s="7">
        <f t="shared" si="0"/>
        <v>0.16666666666666669</v>
      </c>
      <c r="T4" s="7">
        <f>+Tabla513[[#This Row],[ALMUERZO]]-Tabla513[[#This Row],[TERMINO ACT. AM]]</f>
        <v>3.4722222222222099E-3</v>
      </c>
      <c r="U4" s="7">
        <f>+Tabla513[[#This Row],[INICIO ACTIVIDADES PM]]-Tabla513[[#This Row],[ALMUERZO]]</f>
        <v>2.430555555555558E-2</v>
      </c>
      <c r="V4" s="7">
        <f>+Tabla513[[#This Row],[TERMINO ACTIVIDADES PM]]-Tabla513[[#This Row],[INICIO ACTIVIDADES PM]]</f>
        <v>3.125E-2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95</v>
      </c>
      <c r="B5" s="12" t="s">
        <v>27</v>
      </c>
      <c r="C5" s="4">
        <f>+Tabla5[[#This Row],[FECHA]]</f>
        <v>44888</v>
      </c>
      <c r="D5" s="37">
        <v>0.34166666666666662</v>
      </c>
      <c r="E5" s="37">
        <v>0.36458333333333331</v>
      </c>
      <c r="F5" s="37">
        <v>0.38472222222222219</v>
      </c>
      <c r="G5" s="46">
        <v>0.61111111111111105</v>
      </c>
      <c r="H5" s="46">
        <v>0.61805555555555558</v>
      </c>
      <c r="I5" s="46">
        <v>0.64236111111111105</v>
      </c>
      <c r="J5" s="46">
        <v>0.65972222222222221</v>
      </c>
      <c r="K5" s="47" t="s">
        <v>90</v>
      </c>
      <c r="M5" s="5"/>
      <c r="N5" s="5" t="s">
        <v>16</v>
      </c>
      <c r="O5" s="4">
        <f>Tabla513[[#This Row],[FECHA]]</f>
        <v>44888</v>
      </c>
      <c r="P5" s="7">
        <f>D5</f>
        <v>0.34166666666666662</v>
      </c>
      <c r="Q5" s="7">
        <f t="shared" si="0"/>
        <v>2.2916666666666696E-2</v>
      </c>
      <c r="R5" s="7">
        <f t="shared" si="0"/>
        <v>2.0138888888888873E-2</v>
      </c>
      <c r="S5" s="7">
        <f t="shared" si="0"/>
        <v>0.22638888888888886</v>
      </c>
      <c r="T5" s="7">
        <f>+Tabla513[[#This Row],[ALMUERZO]]-Tabla513[[#This Row],[TERMINO ACT. AM]]</f>
        <v>6.9444444444445308E-3</v>
      </c>
      <c r="U5" s="7">
        <f>+Tabla513[[#This Row],[INICIO ACTIVIDADES PM]]-Tabla513[[#This Row],[ALMUERZO]]</f>
        <v>2.4305555555555469E-2</v>
      </c>
      <c r="V5" s="7">
        <f>+Tabla513[[#This Row],[TERMINO ACTIVIDADES PM]]-Tabla513[[#This Row],[INICIO ACTIVIDADES PM]]</f>
        <v>1.736111111111116E-2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95</v>
      </c>
      <c r="B6" s="12" t="s">
        <v>28</v>
      </c>
      <c r="C6" s="4">
        <f>+Tabla5[[#This Row],[FECHA]]</f>
        <v>44889</v>
      </c>
      <c r="D6" s="37">
        <v>0.34375</v>
      </c>
      <c r="E6" s="37">
        <v>0.3611111111111111</v>
      </c>
      <c r="F6" s="37">
        <v>0.38611111111111113</v>
      </c>
      <c r="G6" s="46">
        <v>0.61111111111111105</v>
      </c>
      <c r="H6" s="37">
        <v>0.61805555555555558</v>
      </c>
      <c r="I6" s="46">
        <v>0.64583333333333337</v>
      </c>
      <c r="J6" s="46">
        <v>0.65972222222222221</v>
      </c>
      <c r="K6" s="47" t="s">
        <v>90</v>
      </c>
      <c r="M6" s="5"/>
      <c r="N6" s="5" t="s">
        <v>17</v>
      </c>
      <c r="O6" s="4">
        <f>Tabla513[[#This Row],[FECHA]]</f>
        <v>44889</v>
      </c>
      <c r="P6" s="7">
        <f>D6</f>
        <v>0.34375</v>
      </c>
      <c r="Q6" s="7">
        <f t="shared" si="0"/>
        <v>1.7361111111111105E-2</v>
      </c>
      <c r="R6" s="7">
        <f t="shared" si="0"/>
        <v>2.5000000000000022E-2</v>
      </c>
      <c r="S6" s="7">
        <f t="shared" si="0"/>
        <v>0.22499999999999992</v>
      </c>
      <c r="T6" s="7">
        <f>+Tabla513[[#This Row],[ALMUERZO]]-Tabla513[[#This Row],[TERMINO ACT. AM]]</f>
        <v>6.9444444444445308E-3</v>
      </c>
      <c r="U6" s="7">
        <f>+Tabla513[[#This Row],[INICIO ACTIVIDADES PM]]-Tabla513[[#This Row],[ALMUERZO]]</f>
        <v>2.777777777777779E-2</v>
      </c>
      <c r="V6" s="7">
        <f>+Tabla513[[#This Row],[TERMINO ACTIVIDADES PM]]-Tabla513[[#This Row],[INICIO ACTIVIDADES PM]]</f>
        <v>1.388888888888884E-2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95</v>
      </c>
      <c r="B7" s="12" t="s">
        <v>38</v>
      </c>
      <c r="C7" s="4">
        <f>+Tabla5[[#This Row],[FECHA]]</f>
        <v>44890</v>
      </c>
      <c r="D7" s="37">
        <v>0.35069444444444442</v>
      </c>
      <c r="E7" s="37">
        <v>0.36805555555555558</v>
      </c>
      <c r="F7" s="37">
        <v>0.3833333333333333</v>
      </c>
      <c r="G7" s="46">
        <v>0.60416666666666663</v>
      </c>
      <c r="H7" s="46">
        <v>0.61111111111111105</v>
      </c>
      <c r="I7" s="46">
        <v>0.6333333333333333</v>
      </c>
      <c r="J7" s="46">
        <v>0.65972222222222221</v>
      </c>
      <c r="K7" s="47" t="s">
        <v>90</v>
      </c>
      <c r="M7" s="5"/>
      <c r="N7" s="5" t="s">
        <v>18</v>
      </c>
      <c r="O7" s="4">
        <f>Tabla513[[#This Row],[FECHA]]</f>
        <v>44890</v>
      </c>
      <c r="P7" s="7">
        <f>D7</f>
        <v>0.35069444444444442</v>
      </c>
      <c r="Q7" s="7">
        <f t="shared" si="0"/>
        <v>1.736111111111116E-2</v>
      </c>
      <c r="R7" s="7">
        <f t="shared" si="0"/>
        <v>1.5277777777777724E-2</v>
      </c>
      <c r="S7" s="7">
        <f t="shared" si="0"/>
        <v>0.22083333333333333</v>
      </c>
      <c r="T7" s="7">
        <f>+Tabla513[[#This Row],[ALMUERZO]]-Tabla513[[#This Row],[TERMINO ACT. AM]]</f>
        <v>6.9444444444444198E-3</v>
      </c>
      <c r="U7" s="7">
        <f>+Tabla513[[#This Row],[INICIO ACTIVIDADES PM]]-Tabla513[[#This Row],[ALMUERZO]]</f>
        <v>2.2222222222222254E-2</v>
      </c>
      <c r="V7" s="7">
        <f>+Tabla513[[#This Row],[TERMINO ACTIVIDADES PM]]-Tabla513[[#This Row],[INICIO ACTIVIDADES PM]]</f>
        <v>2.6388888888888906E-2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0"/>
      <c r="F8" s="50"/>
      <c r="G8" s="50"/>
      <c r="H8" s="50"/>
      <c r="I8" s="50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46"/>
      <c r="K9" s="38"/>
      <c r="M9" s="5">
        <f>Tabla513[[#This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6"/>
      <c r="K10" s="38"/>
      <c r="M10" s="18"/>
      <c r="N10" s="5"/>
      <c r="O10" s="4"/>
      <c r="T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46"/>
      <c r="K12" s="38"/>
      <c r="M12" s="5"/>
      <c r="N12" s="5"/>
      <c r="O12" s="4"/>
      <c r="T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0"/>
      <c r="I13" s="10"/>
      <c r="J13" s="10"/>
      <c r="K13" s="50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0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77</v>
      </c>
      <c r="H15" s="26"/>
      <c r="I15" s="28"/>
      <c r="J15" s="28"/>
      <c r="K15" s="50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0.24791666666666667</v>
      </c>
      <c r="H16" s="23"/>
      <c r="I16" s="28"/>
      <c r="J16" s="28"/>
      <c r="K16" s="51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0.19791666666666669</v>
      </c>
      <c r="H17" s="23"/>
      <c r="I17" s="28"/>
      <c r="J17" s="28"/>
      <c r="K17" s="51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0.24375000000000002</v>
      </c>
      <c r="H18" s="23"/>
      <c r="I18" s="28"/>
      <c r="J18" s="28"/>
      <c r="K18" s="51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0.23888888888888876</v>
      </c>
      <c r="H19" s="23"/>
      <c r="I19" s="28"/>
      <c r="J19" s="28"/>
      <c r="K19" s="51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0.24722222222222223</v>
      </c>
      <c r="H20" s="23"/>
      <c r="I20" s="28"/>
      <c r="J20" s="28"/>
      <c r="K20" s="51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0.23513888888888887</v>
      </c>
      <c r="H21" s="30"/>
      <c r="I21" s="28"/>
      <c r="J21" s="28"/>
      <c r="K21" s="51"/>
    </row>
    <row r="22" spans="1:20" ht="16.2" thickBot="1" x14ac:dyDescent="0.35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0.94055555555555548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x14ac:dyDescent="0.3">
      <c r="T28" s="3"/>
    </row>
    <row r="29" spans="1:20" ht="15.6" customHeight="1" x14ac:dyDescent="0.3">
      <c r="H29" s="177" t="s">
        <v>105</v>
      </c>
      <c r="I29" s="178" t="s">
        <v>103</v>
      </c>
      <c r="T29" s="3"/>
    </row>
    <row r="30" spans="1:20" ht="15.6" customHeight="1" x14ac:dyDescent="0.3">
      <c r="H30" s="177"/>
      <c r="I30" s="179"/>
      <c r="T30" s="3"/>
    </row>
    <row r="31" spans="1:20" ht="15.6" customHeight="1" x14ac:dyDescent="0.3">
      <c r="H31" s="177"/>
      <c r="I31" s="179"/>
      <c r="T31" s="3"/>
    </row>
    <row r="32" spans="1:20" ht="15.6" customHeight="1" x14ac:dyDescent="0.3">
      <c r="H32" s="177"/>
      <c r="I32" s="180"/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60" zoomScaleNormal="60" workbookViewId="0">
      <selection activeCell="N29" sqref="N29"/>
    </sheetView>
  </sheetViews>
  <sheetFormatPr baseColWidth="10" defaultRowHeight="15.6" x14ac:dyDescent="0.3"/>
  <cols>
    <col min="1" max="1" width="3.296875" customWidth="1"/>
    <col min="14" max="14" width="91.3984375" bestFit="1" customWidth="1"/>
  </cols>
  <sheetData>
    <row r="1" spans="1:13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4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4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4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4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4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4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82"/>
    </row>
    <row r="23" spans="1:14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83"/>
    </row>
    <row r="24" spans="1:14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83"/>
    </row>
    <row r="25" spans="1:14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4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4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4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4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4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4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4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A3" sqref="A3"/>
    </sheetView>
  </sheetViews>
  <sheetFormatPr baseColWidth="10" defaultColWidth="10.8984375" defaultRowHeight="15.6" x14ac:dyDescent="0.3"/>
  <cols>
    <col min="1" max="1" width="10.8984375" style="2"/>
    <col min="2" max="2" width="25.3984375" style="2" customWidth="1"/>
    <col min="3" max="16384" width="10.8984375" style="2"/>
  </cols>
  <sheetData>
    <row r="1" spans="2:9" ht="16.2" thickBot="1" x14ac:dyDescent="0.35"/>
    <row r="2" spans="2:9" ht="18.600000000000001" thickBot="1" x14ac:dyDescent="0.4">
      <c r="B2" s="213" t="s">
        <v>67</v>
      </c>
      <c r="C2" s="214"/>
      <c r="D2" s="214"/>
      <c r="E2" s="214"/>
      <c r="F2" s="214"/>
      <c r="G2" s="214"/>
      <c r="H2" s="214"/>
      <c r="I2" s="215"/>
    </row>
    <row r="3" spans="2:9" ht="31.8" thickBot="1" x14ac:dyDescent="0.35">
      <c r="B3" s="59" t="s">
        <v>2</v>
      </c>
      <c r="C3" s="59" t="s">
        <v>0</v>
      </c>
      <c r="D3" s="59" t="s">
        <v>3</v>
      </c>
      <c r="E3" s="59" t="s">
        <v>4</v>
      </c>
      <c r="F3" s="59" t="s">
        <v>5</v>
      </c>
      <c r="G3" s="59" t="s">
        <v>6</v>
      </c>
      <c r="H3" s="59" t="s">
        <v>7</v>
      </c>
      <c r="I3" s="59" t="s">
        <v>8</v>
      </c>
    </row>
    <row r="4" spans="2:9" ht="16.2" thickBot="1" x14ac:dyDescent="0.35">
      <c r="B4" s="60" t="s">
        <v>68</v>
      </c>
      <c r="C4" s="61">
        <v>0.3263888888888889</v>
      </c>
      <c r="D4" s="62"/>
      <c r="E4" s="62"/>
      <c r="F4" s="62"/>
      <c r="G4" s="62"/>
      <c r="H4" s="62"/>
      <c r="I4" s="62" t="e">
        <f t="shared" ref="I4:I9" si="0">AVERAGE(D4:H4)</f>
        <v>#DIV/0!</v>
      </c>
    </row>
    <row r="5" spans="2:9" ht="16.2" thickBot="1" x14ac:dyDescent="0.35">
      <c r="B5" s="63" t="s">
        <v>69</v>
      </c>
      <c r="C5" s="64">
        <v>0.35416666666666669</v>
      </c>
      <c r="D5" s="65"/>
      <c r="E5" s="65"/>
      <c r="F5" s="65"/>
      <c r="G5" s="65"/>
      <c r="H5" s="65"/>
      <c r="I5" s="65" t="e">
        <f t="shared" si="0"/>
        <v>#DIV/0!</v>
      </c>
    </row>
    <row r="6" spans="2:9" ht="16.2" thickBot="1" x14ac:dyDescent="0.35">
      <c r="B6" s="63" t="s">
        <v>70</v>
      </c>
      <c r="C6" s="64">
        <v>0.375</v>
      </c>
      <c r="D6" s="65"/>
      <c r="E6" s="65"/>
      <c r="F6" s="65"/>
      <c r="G6" s="65"/>
      <c r="H6" s="65"/>
      <c r="I6" s="65" t="e">
        <f t="shared" si="0"/>
        <v>#DIV/0!</v>
      </c>
    </row>
    <row r="7" spans="2:9" ht="16.2" thickBot="1" x14ac:dyDescent="0.35">
      <c r="B7" s="63" t="s">
        <v>71</v>
      </c>
      <c r="C7" s="64">
        <v>0.60416666666666663</v>
      </c>
      <c r="D7" s="65"/>
      <c r="E7" s="65"/>
      <c r="F7" s="65"/>
      <c r="G7" s="65"/>
      <c r="H7" s="65"/>
      <c r="I7" s="65" t="e">
        <f t="shared" si="0"/>
        <v>#DIV/0!</v>
      </c>
    </row>
    <row r="8" spans="2:9" ht="16.2" thickBot="1" x14ac:dyDescent="0.35">
      <c r="B8" s="63" t="s">
        <v>68</v>
      </c>
      <c r="C8" s="64">
        <v>0.61458333333333337</v>
      </c>
      <c r="D8" s="65"/>
      <c r="E8" s="65"/>
      <c r="F8" s="65"/>
      <c r="G8" s="65"/>
      <c r="H8" s="65"/>
      <c r="I8" s="65" t="e">
        <f t="shared" si="0"/>
        <v>#DIV/0!</v>
      </c>
    </row>
    <row r="9" spans="2:9" ht="16.2" thickBot="1" x14ac:dyDescent="0.35">
      <c r="B9" s="66" t="s">
        <v>72</v>
      </c>
      <c r="C9" s="67">
        <v>0.65277777777777779</v>
      </c>
      <c r="D9" s="68"/>
      <c r="E9" s="68"/>
      <c r="F9" s="68"/>
      <c r="G9" s="68"/>
      <c r="H9" s="68"/>
      <c r="I9" s="68" t="e">
        <f t="shared" si="0"/>
        <v>#DIV/0!</v>
      </c>
    </row>
    <row r="10" spans="2:9" ht="16.2" thickBot="1" x14ac:dyDescent="0.35">
      <c r="B10"/>
      <c r="C10"/>
      <c r="D10"/>
      <c r="E10"/>
      <c r="F10"/>
      <c r="G10"/>
      <c r="H10"/>
      <c r="I10"/>
    </row>
    <row r="11" spans="2:9" ht="18.600000000000001" thickBot="1" x14ac:dyDescent="0.4">
      <c r="B11" s="213" t="s">
        <v>73</v>
      </c>
      <c r="C11" s="214"/>
      <c r="D11" s="214"/>
      <c r="E11" s="214"/>
      <c r="F11" s="214"/>
      <c r="G11" s="214"/>
      <c r="H11" s="214"/>
      <c r="I11" s="215"/>
    </row>
    <row r="12" spans="2:9" ht="31.8" thickBot="1" x14ac:dyDescent="0.35">
      <c r="B12" s="59" t="s">
        <v>2</v>
      </c>
      <c r="C12" s="59" t="s">
        <v>0</v>
      </c>
      <c r="D12" s="59" t="s">
        <v>3</v>
      </c>
      <c r="E12" s="59" t="s">
        <v>4</v>
      </c>
      <c r="F12" s="59" t="s">
        <v>5</v>
      </c>
      <c r="G12" s="59" t="s">
        <v>6</v>
      </c>
      <c r="H12" s="59" t="s">
        <v>7</v>
      </c>
      <c r="I12" s="59" t="s">
        <v>8</v>
      </c>
    </row>
    <row r="13" spans="2:9" ht="16.2" thickBot="1" x14ac:dyDescent="0.35">
      <c r="B13" s="60" t="s">
        <v>68</v>
      </c>
      <c r="C13" s="61">
        <v>0.32291666666666669</v>
      </c>
      <c r="D13" s="62"/>
      <c r="E13" s="62"/>
      <c r="F13" s="62"/>
      <c r="G13" s="62"/>
      <c r="H13" s="62"/>
      <c r="I13" s="62" t="e">
        <f t="shared" ref="I13:I18" si="1">AVERAGE(D13:H13)</f>
        <v>#DIV/0!</v>
      </c>
    </row>
    <row r="14" spans="2:9" ht="16.2" thickBot="1" x14ac:dyDescent="0.35">
      <c r="B14" s="63" t="s">
        <v>69</v>
      </c>
      <c r="C14" s="64">
        <v>0.34027777777777773</v>
      </c>
      <c r="D14" s="65"/>
      <c r="E14" s="65"/>
      <c r="F14" s="65"/>
      <c r="G14" s="65"/>
      <c r="H14" s="65"/>
      <c r="I14" s="65" t="e">
        <f t="shared" si="1"/>
        <v>#DIV/0!</v>
      </c>
    </row>
    <row r="15" spans="2:9" ht="16.2" thickBot="1" x14ac:dyDescent="0.35">
      <c r="B15" s="63" t="s">
        <v>70</v>
      </c>
      <c r="C15" s="64">
        <v>0.34722222222222227</v>
      </c>
      <c r="D15" s="65"/>
      <c r="E15" s="65"/>
      <c r="F15" s="65"/>
      <c r="G15" s="65"/>
      <c r="H15" s="65"/>
      <c r="I15" s="65" t="e">
        <f t="shared" si="1"/>
        <v>#DIV/0!</v>
      </c>
    </row>
    <row r="16" spans="2:9" ht="16.2" thickBot="1" x14ac:dyDescent="0.35">
      <c r="B16" s="63" t="s">
        <v>71</v>
      </c>
      <c r="C16" s="64">
        <v>0.625</v>
      </c>
      <c r="D16" s="65"/>
      <c r="E16" s="65"/>
      <c r="F16" s="65"/>
      <c r="G16" s="65"/>
      <c r="H16" s="65"/>
      <c r="I16" s="65" t="e">
        <f t="shared" si="1"/>
        <v>#DIV/0!</v>
      </c>
    </row>
    <row r="17" spans="2:9" ht="16.2" thickBot="1" x14ac:dyDescent="0.35">
      <c r="B17" s="63" t="s">
        <v>68</v>
      </c>
      <c r="C17" s="64">
        <v>0.63888888888888895</v>
      </c>
      <c r="D17" s="65"/>
      <c r="E17" s="65"/>
      <c r="F17" s="65"/>
      <c r="G17" s="65"/>
      <c r="H17" s="65"/>
      <c r="I17" s="65" t="e">
        <f t="shared" si="1"/>
        <v>#DIV/0!</v>
      </c>
    </row>
    <row r="18" spans="2:9" ht="16.2" thickBot="1" x14ac:dyDescent="0.35">
      <c r="B18" s="66" t="s">
        <v>72</v>
      </c>
      <c r="C18" s="67">
        <v>0.66666666666666663</v>
      </c>
      <c r="D18" s="68"/>
      <c r="E18" s="68"/>
      <c r="F18" s="68"/>
      <c r="G18" s="68"/>
      <c r="H18" s="68"/>
      <c r="I18" s="68" t="e">
        <f t="shared" si="1"/>
        <v>#DIV/0!</v>
      </c>
    </row>
    <row r="19" spans="2:9" ht="16.2" thickBot="1" x14ac:dyDescent="0.35">
      <c r="B19"/>
      <c r="C19"/>
      <c r="D19"/>
      <c r="E19"/>
      <c r="F19"/>
      <c r="G19"/>
      <c r="H19"/>
      <c r="I19"/>
    </row>
    <row r="20" spans="2:9" ht="18.600000000000001" thickBot="1" x14ac:dyDescent="0.4">
      <c r="B20" s="213" t="s">
        <v>74</v>
      </c>
      <c r="C20" s="214"/>
      <c r="D20" s="214"/>
      <c r="E20" s="214"/>
      <c r="F20" s="214"/>
      <c r="G20" s="214"/>
      <c r="H20" s="214"/>
      <c r="I20" s="215"/>
    </row>
    <row r="21" spans="2:9" ht="31.8" thickBot="1" x14ac:dyDescent="0.35">
      <c r="B21" s="59" t="s">
        <v>2</v>
      </c>
      <c r="C21" s="59" t="s">
        <v>0</v>
      </c>
      <c r="D21" s="59" t="s">
        <v>3</v>
      </c>
      <c r="E21" s="59" t="s">
        <v>4</v>
      </c>
      <c r="F21" s="59" t="s">
        <v>5</v>
      </c>
      <c r="G21" s="59" t="s">
        <v>6</v>
      </c>
      <c r="H21" s="59" t="s">
        <v>7</v>
      </c>
      <c r="I21" s="59" t="s">
        <v>8</v>
      </c>
    </row>
    <row r="22" spans="2:9" ht="16.2" thickBot="1" x14ac:dyDescent="0.35">
      <c r="B22" s="60" t="s">
        <v>68</v>
      </c>
      <c r="C22" s="61">
        <v>0.66666666666666663</v>
      </c>
      <c r="D22" s="62"/>
      <c r="E22" s="62"/>
      <c r="F22" s="62"/>
      <c r="G22" s="62"/>
      <c r="H22" s="62"/>
      <c r="I22" s="62" t="e">
        <f t="shared" ref="I22:I27" si="2">AVERAGE(D22:H22)</f>
        <v>#DIV/0!</v>
      </c>
    </row>
    <row r="23" spans="2:9" ht="16.2" thickBot="1" x14ac:dyDescent="0.35">
      <c r="B23" s="63" t="s">
        <v>69</v>
      </c>
      <c r="C23" s="64">
        <v>0.69791666666666663</v>
      </c>
      <c r="D23" s="65"/>
      <c r="E23" s="65"/>
      <c r="F23" s="65"/>
      <c r="G23" s="65"/>
      <c r="H23" s="65"/>
      <c r="I23" s="65" t="e">
        <f t="shared" si="2"/>
        <v>#DIV/0!</v>
      </c>
    </row>
    <row r="24" spans="2:9" ht="16.2" thickBot="1" x14ac:dyDescent="0.35">
      <c r="B24" s="63" t="s">
        <v>70</v>
      </c>
      <c r="C24" s="64">
        <v>0.71180555555555547</v>
      </c>
      <c r="D24" s="65"/>
      <c r="E24" s="65"/>
      <c r="F24" s="65"/>
      <c r="G24" s="65"/>
      <c r="H24" s="65"/>
      <c r="I24" s="65" t="e">
        <f t="shared" si="2"/>
        <v>#DIV/0!</v>
      </c>
    </row>
    <row r="25" spans="2:9" ht="16.2" thickBot="1" x14ac:dyDescent="0.35">
      <c r="B25" s="63" t="s">
        <v>71</v>
      </c>
      <c r="C25" s="64">
        <v>0.94791666666666663</v>
      </c>
      <c r="D25" s="65"/>
      <c r="E25" s="65"/>
      <c r="F25" s="65"/>
      <c r="G25" s="65"/>
      <c r="H25" s="65"/>
      <c r="I25" s="65" t="e">
        <f t="shared" si="2"/>
        <v>#DIV/0!</v>
      </c>
    </row>
    <row r="26" spans="2:9" ht="16.2" thickBot="1" x14ac:dyDescent="0.35">
      <c r="B26" s="63" t="s">
        <v>68</v>
      </c>
      <c r="C26" s="64">
        <v>0.95833333333333337</v>
      </c>
      <c r="D26" s="65"/>
      <c r="E26" s="65"/>
      <c r="F26" s="65"/>
      <c r="G26" s="65"/>
      <c r="H26" s="65"/>
      <c r="I26" s="65" t="e">
        <f t="shared" si="2"/>
        <v>#DIV/0!</v>
      </c>
    </row>
    <row r="27" spans="2:9" ht="16.2" thickBot="1" x14ac:dyDescent="0.35">
      <c r="B27" s="66" t="s">
        <v>72</v>
      </c>
      <c r="C27" s="67">
        <v>0.98611111111111116</v>
      </c>
      <c r="D27" s="68"/>
      <c r="E27" s="68"/>
      <c r="F27" s="68"/>
      <c r="G27" s="68"/>
      <c r="H27" s="68"/>
      <c r="I27" s="68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showGridLines="0" zoomScale="60" zoomScaleNormal="60" workbookViewId="0">
      <selection activeCell="K4" sqref="K4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5" width="13.8984375" customWidth="1"/>
    <col min="6" max="6" width="14.69921875" customWidth="1"/>
    <col min="7" max="7" width="13.8984375" customWidth="1"/>
    <col min="8" max="8" width="13.59765625" customWidth="1"/>
    <col min="9" max="9" width="14.69921875" customWidth="1"/>
    <col min="10" max="10" width="14.59765625" customWidth="1"/>
    <col min="11" max="11" width="25.19921875" customWidth="1"/>
    <col min="12" max="12" width="17.8984375" customWidth="1"/>
    <col min="13" max="13" width="17.5" customWidth="1"/>
    <col min="14" max="14" width="12.8984375" bestFit="1" customWidth="1"/>
    <col min="15" max="15" width="12.19921875" bestFit="1" customWidth="1"/>
  </cols>
  <sheetData>
    <row r="1" spans="1:28" x14ac:dyDescent="0.3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8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</row>
    <row r="3" spans="1:28" x14ac:dyDescent="0.3">
      <c r="A3" s="12" t="s">
        <v>96</v>
      </c>
      <c r="B3" s="12" t="s">
        <v>37</v>
      </c>
      <c r="C3" s="4">
        <f>+Tabla5[[#This Row],[FECHA]]</f>
        <v>44886</v>
      </c>
      <c r="D3" s="37">
        <v>0.67361111111111116</v>
      </c>
      <c r="E3" s="37">
        <v>0.69305555555555554</v>
      </c>
      <c r="F3" s="37">
        <v>0.71319444444444446</v>
      </c>
      <c r="G3" s="37">
        <v>0.94861111111111107</v>
      </c>
      <c r="H3" s="37">
        <v>0.95486111111111116</v>
      </c>
      <c r="I3" s="37">
        <v>0.97569444444444453</v>
      </c>
      <c r="J3" s="46">
        <v>0.99305555555555547</v>
      </c>
      <c r="K3" s="47"/>
      <c r="L3" s="53"/>
      <c r="M3" s="53"/>
      <c r="N3" s="57" t="s">
        <v>15</v>
      </c>
      <c r="O3" s="4">
        <f>Tabla51334[[#This Row],[FECHA]]</f>
        <v>44886</v>
      </c>
      <c r="P3" s="7">
        <f>D3</f>
        <v>0.67361111111111116</v>
      </c>
      <c r="Q3" s="7">
        <f>E3-D3</f>
        <v>1.9444444444444375E-2</v>
      </c>
      <c r="R3" s="7">
        <f>F3-E3</f>
        <v>2.0138888888888928E-2</v>
      </c>
      <c r="S3" s="7">
        <f>G3-F3</f>
        <v>0.23541666666666661</v>
      </c>
      <c r="T3" s="7">
        <f>+Tabla51334[[#This Row],[ALMUERZO]]-Tabla51334[[#This Row],[TERMINO ACT. AM]]</f>
        <v>6.2500000000000888E-3</v>
      </c>
      <c r="U3" s="7">
        <f>+Tabla51334[[#This Row],[INICIO ACTIVIDADES PM]]-Tabla51334[[#This Row],[ALMUERZO]]</f>
        <v>2.083333333333337E-2</v>
      </c>
      <c r="V3" s="7">
        <f>+Tabla51334[[#This Row],[TERMINO ACTIVIDADES PM]]-Tabla51334[[#This Row],[INICIO ACTIVIDADES PM]]</f>
        <v>1.7361111111110938E-2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</row>
    <row r="4" spans="1:28" x14ac:dyDescent="0.3">
      <c r="A4" s="12" t="s">
        <v>96</v>
      </c>
      <c r="B4" s="12" t="s">
        <v>26</v>
      </c>
      <c r="C4" s="4">
        <f>+Tabla5[[#This Row],[FECHA]]</f>
        <v>44887</v>
      </c>
      <c r="D4" s="37">
        <v>0.67361111111111116</v>
      </c>
      <c r="E4" s="37">
        <v>0.69791666666666663</v>
      </c>
      <c r="F4" s="37">
        <v>0.72569444444444453</v>
      </c>
      <c r="G4" s="37">
        <v>0.94513888888888886</v>
      </c>
      <c r="H4" s="37">
        <v>0.95486111111111116</v>
      </c>
      <c r="I4" s="37">
        <v>0.97569444444444453</v>
      </c>
      <c r="J4" s="46">
        <v>0.99305555555555547</v>
      </c>
      <c r="K4" s="47"/>
      <c r="M4" s="5"/>
      <c r="N4" s="5" t="s">
        <v>16</v>
      </c>
      <c r="O4" s="4">
        <f>Tabla51334[[#This Row],[FECHA]]</f>
        <v>44887</v>
      </c>
      <c r="P4" s="7">
        <f>D4</f>
        <v>0.67361111111111116</v>
      </c>
      <c r="Q4" s="7">
        <f t="shared" ref="Q4:S7" si="0">E4-D4</f>
        <v>2.4305555555555469E-2</v>
      </c>
      <c r="R4" s="7">
        <f t="shared" si="0"/>
        <v>2.7777777777777901E-2</v>
      </c>
      <c r="S4" s="7">
        <f t="shared" si="0"/>
        <v>0.21944444444444433</v>
      </c>
      <c r="T4" s="7">
        <f>+Tabla51334[[#This Row],[ALMUERZO]]-Tabla51334[[#This Row],[TERMINO ACT. AM]]</f>
        <v>9.7222222222222987E-3</v>
      </c>
      <c r="U4" s="7">
        <f>+Tabla51334[[#This Row],[INICIO ACTIVIDADES PM]]-Tabla51334[[#This Row],[ALMUERZO]]</f>
        <v>2.083333333333337E-2</v>
      </c>
      <c r="V4" s="7">
        <f>+Tabla51334[[#This Row],[TERMINO ACTIVIDADES PM]]-Tabla51334[[#This Row],[INICIO ACTIVIDADES PM]]</f>
        <v>1.7361111111110938E-2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</row>
    <row r="5" spans="1:28" x14ac:dyDescent="0.3">
      <c r="A5" s="12" t="s">
        <v>96</v>
      </c>
      <c r="B5" s="12" t="s">
        <v>27</v>
      </c>
      <c r="C5" s="4">
        <f>+Tabla5[[#This Row],[FECHA]]</f>
        <v>44888</v>
      </c>
      <c r="D5" s="37">
        <v>0.67361111111111116</v>
      </c>
      <c r="E5" s="37">
        <v>0.69791666666666663</v>
      </c>
      <c r="F5" s="37">
        <v>0.72083333333333333</v>
      </c>
      <c r="G5" s="37">
        <v>0.94652777777777775</v>
      </c>
      <c r="H5" s="37">
        <v>0.95486111111111116</v>
      </c>
      <c r="I5" s="37">
        <v>0.97569444444444453</v>
      </c>
      <c r="J5" s="46">
        <v>0.99305555555555547</v>
      </c>
      <c r="K5" s="47"/>
      <c r="M5" s="5"/>
      <c r="N5" s="5" t="s">
        <v>16</v>
      </c>
      <c r="O5" s="4">
        <f>Tabla51334[[#This Row],[FECHA]]</f>
        <v>44888</v>
      </c>
      <c r="P5" s="7">
        <f>D5</f>
        <v>0.67361111111111116</v>
      </c>
      <c r="Q5" s="7">
        <f t="shared" si="0"/>
        <v>2.4305555555555469E-2</v>
      </c>
      <c r="R5" s="7">
        <f t="shared" si="0"/>
        <v>2.2916666666666696E-2</v>
      </c>
      <c r="S5" s="7">
        <f t="shared" si="0"/>
        <v>0.22569444444444442</v>
      </c>
      <c r="T5" s="7">
        <f>+Tabla51334[[#This Row],[ALMUERZO]]-Tabla51334[[#This Row],[TERMINO ACT. AM]]</f>
        <v>8.3333333333334147E-3</v>
      </c>
      <c r="U5" s="7">
        <f>+Tabla51334[[#This Row],[INICIO ACTIVIDADES PM]]-Tabla51334[[#This Row],[ALMUERZO]]</f>
        <v>2.083333333333337E-2</v>
      </c>
      <c r="V5" s="7">
        <f>+Tabla51334[[#This Row],[TERMINO ACTIVIDADES PM]]-Tabla51334[[#This Row],[INICIO ACTIVIDADES PM]]</f>
        <v>1.7361111111110938E-2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</row>
    <row r="6" spans="1:28" x14ac:dyDescent="0.3">
      <c r="A6" s="12" t="s">
        <v>96</v>
      </c>
      <c r="B6" s="12" t="s">
        <v>28</v>
      </c>
      <c r="C6" s="4">
        <f>+Tabla5[[#This Row],[FECHA]]</f>
        <v>44889</v>
      </c>
      <c r="D6" s="37">
        <v>0.67708333333333337</v>
      </c>
      <c r="E6" s="37">
        <v>0.69652777777777775</v>
      </c>
      <c r="F6" s="37">
        <v>0.71180555555555547</v>
      </c>
      <c r="G6" s="37">
        <v>0.94305555555555554</v>
      </c>
      <c r="H6" s="37">
        <v>0.95138888888888884</v>
      </c>
      <c r="I6" s="37">
        <v>0.97222222222222221</v>
      </c>
      <c r="J6" s="46">
        <v>0.99305555555555547</v>
      </c>
      <c r="K6" s="47"/>
      <c r="M6" s="5"/>
      <c r="N6" s="5" t="s">
        <v>17</v>
      </c>
      <c r="O6" s="4">
        <f>Tabla51334[[#This Row],[FECHA]]</f>
        <v>44889</v>
      </c>
      <c r="P6" s="7">
        <f>D6</f>
        <v>0.67708333333333337</v>
      </c>
      <c r="Q6" s="7">
        <f t="shared" si="0"/>
        <v>1.9444444444444375E-2</v>
      </c>
      <c r="R6" s="7">
        <f t="shared" si="0"/>
        <v>1.5277777777777724E-2</v>
      </c>
      <c r="S6" s="7">
        <f t="shared" si="0"/>
        <v>0.23125000000000007</v>
      </c>
      <c r="T6" s="7">
        <f>+Tabla51334[[#This Row],[ALMUERZO]]-Tabla51334[[#This Row],[TERMINO ACT. AM]]</f>
        <v>8.3333333333333037E-3</v>
      </c>
      <c r="U6" s="7">
        <f>+Tabla51334[[#This Row],[INICIO ACTIVIDADES PM]]-Tabla51334[[#This Row],[ALMUERZO]]</f>
        <v>2.083333333333337E-2</v>
      </c>
      <c r="V6" s="7">
        <f>+Tabla51334[[#This Row],[TERMINO ACTIVIDADES PM]]-Tabla51334[[#This Row],[INICIO ACTIVIDADES PM]]</f>
        <v>2.0833333333333259E-2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</row>
    <row r="7" spans="1:28" x14ac:dyDescent="0.3">
      <c r="A7" s="12" t="s">
        <v>96</v>
      </c>
      <c r="B7" s="12" t="s">
        <v>38</v>
      </c>
      <c r="C7" s="4">
        <f>+Tabla5[[#This Row],[FECHA]]</f>
        <v>44890</v>
      </c>
      <c r="D7" s="37">
        <v>0.67708333333333337</v>
      </c>
      <c r="E7" s="37">
        <v>0.69791666666666663</v>
      </c>
      <c r="F7" s="37">
        <v>0.71180555555555547</v>
      </c>
      <c r="G7" s="46">
        <v>0.9375</v>
      </c>
      <c r="H7" s="37">
        <v>0.94444444444444453</v>
      </c>
      <c r="I7" s="37">
        <v>0.96875</v>
      </c>
      <c r="J7" s="46">
        <v>0.99305555555555547</v>
      </c>
      <c r="K7" s="47"/>
      <c r="M7" s="5"/>
      <c r="N7" s="5" t="s">
        <v>18</v>
      </c>
      <c r="O7" s="4">
        <f>Tabla51334[[#This Row],[FECHA]]</f>
        <v>44890</v>
      </c>
      <c r="P7" s="7">
        <f>D7</f>
        <v>0.67708333333333337</v>
      </c>
      <c r="Q7" s="7">
        <f t="shared" si="0"/>
        <v>2.0833333333333259E-2</v>
      </c>
      <c r="R7" s="7">
        <f t="shared" si="0"/>
        <v>1.388888888888884E-2</v>
      </c>
      <c r="S7" s="7">
        <f t="shared" si="0"/>
        <v>0.22569444444444453</v>
      </c>
      <c r="T7" s="7">
        <f>+Tabla51334[[#This Row],[ALMUERZO]]-Tabla51334[[#This Row],[TERMINO ACT. AM]]</f>
        <v>6.9444444444445308E-3</v>
      </c>
      <c r="U7" s="7">
        <f>+Tabla51334[[#This Row],[INICIO ACTIVIDADES PM]]-Tabla51334[[#This Row],[ALMUERZO]]</f>
        <v>2.4305555555555469E-2</v>
      </c>
      <c r="V7" s="7">
        <f>+Tabla51334[[#This Row],[TERMINO ACTIVIDADES PM]]-Tabla51334[[#This Row],[INICIO ACTIVIDADES PM]]</f>
        <v>2.4305555555555469E-2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</row>
    <row r="8" spans="1:28" x14ac:dyDescent="0.3">
      <c r="A8" s="11"/>
      <c r="B8" s="11"/>
      <c r="C8" s="4"/>
      <c r="D8" s="39"/>
      <c r="E8" s="56"/>
      <c r="F8" s="56"/>
      <c r="G8" s="56"/>
      <c r="H8" s="56"/>
      <c r="I8" s="56"/>
      <c r="J8" s="46"/>
      <c r="K8" s="38"/>
      <c r="M8" s="5"/>
      <c r="N8" s="5"/>
      <c r="O8" s="4"/>
      <c r="T8" s="3"/>
      <c r="W8" s="3"/>
      <c r="X8" s="3"/>
      <c r="Y8" s="3"/>
      <c r="Z8" s="3"/>
      <c r="AA8" s="3"/>
      <c r="AB8" s="3"/>
    </row>
    <row r="9" spans="1:28" x14ac:dyDescent="0.3">
      <c r="A9" s="11"/>
      <c r="B9" s="11"/>
      <c r="C9" s="11"/>
      <c r="D9" s="37"/>
      <c r="E9" s="37"/>
      <c r="F9" s="37"/>
      <c r="G9" s="46"/>
      <c r="H9" s="46"/>
      <c r="I9" s="46"/>
      <c r="J9" s="46"/>
      <c r="K9" s="38"/>
      <c r="M9" s="5">
        <f>Tabla51334[[#This Row],[Columna1]]</f>
        <v>0</v>
      </c>
      <c r="N9" s="5"/>
      <c r="O9" s="4"/>
      <c r="T9" s="3"/>
      <c r="W9" s="3"/>
      <c r="X9" s="3"/>
      <c r="Y9" s="3"/>
      <c r="Z9" s="3"/>
      <c r="AA9" s="3"/>
      <c r="AB9" s="3"/>
    </row>
    <row r="10" spans="1:28" x14ac:dyDescent="0.3">
      <c r="A10" s="40"/>
      <c r="B10" s="40"/>
      <c r="C10" s="40"/>
      <c r="D10" s="37"/>
      <c r="E10" s="37"/>
      <c r="F10" s="37"/>
      <c r="G10" s="46"/>
      <c r="H10" s="46"/>
      <c r="I10" s="46"/>
      <c r="J10" s="46"/>
      <c r="K10" s="38"/>
      <c r="M10" s="18"/>
      <c r="N10" s="5"/>
      <c r="O10" s="4"/>
      <c r="T10" s="3"/>
      <c r="W10" s="3"/>
      <c r="X10" s="3"/>
      <c r="Y10" s="3"/>
      <c r="Z10" s="3"/>
      <c r="AA10" s="3"/>
      <c r="AB10" s="3"/>
    </row>
    <row r="11" spans="1:28" x14ac:dyDescent="0.3">
      <c r="A11" s="40"/>
      <c r="B11" s="40"/>
      <c r="C11" s="40"/>
      <c r="D11" s="37"/>
      <c r="E11" s="37"/>
      <c r="F11" s="37"/>
      <c r="G11" s="46"/>
      <c r="H11" s="37"/>
      <c r="I11" s="46"/>
      <c r="J11" s="46"/>
      <c r="K11" s="38"/>
      <c r="M11" s="5"/>
      <c r="N11" s="5"/>
      <c r="O11" s="4"/>
      <c r="T11" s="3"/>
      <c r="W11" s="3"/>
      <c r="X11" s="3"/>
      <c r="Y11" s="3"/>
      <c r="Z11" s="3"/>
      <c r="AA11" s="3"/>
      <c r="AB11" s="3"/>
    </row>
    <row r="12" spans="1:28" x14ac:dyDescent="0.3">
      <c r="A12" s="11"/>
      <c r="B12" s="11"/>
      <c r="C12" s="11"/>
      <c r="D12" s="37"/>
      <c r="E12" s="37"/>
      <c r="F12" s="37"/>
      <c r="G12" s="46"/>
      <c r="H12" s="46"/>
      <c r="I12" s="46"/>
      <c r="J12" s="46"/>
      <c r="K12" s="38"/>
      <c r="M12" s="5"/>
      <c r="N12" s="5"/>
      <c r="O12" s="4"/>
      <c r="T12" s="3"/>
      <c r="W12" s="3"/>
      <c r="X12" s="3"/>
      <c r="Y12" s="3"/>
      <c r="Z12" s="3"/>
      <c r="AA12" s="3"/>
      <c r="AB12" s="3"/>
    </row>
    <row r="13" spans="1:28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T13" s="3"/>
      <c r="W13" s="3"/>
      <c r="X13" s="3"/>
      <c r="Y13" s="3"/>
      <c r="Z13" s="3"/>
      <c r="AA13" s="3"/>
      <c r="AB13" s="3"/>
    </row>
    <row r="14" spans="1:28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W14" s="3"/>
      <c r="X14" s="3"/>
      <c r="Y14" s="3"/>
      <c r="Z14" s="3"/>
      <c r="AA14" s="3"/>
      <c r="AB14" s="3"/>
    </row>
    <row r="15" spans="1:28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79</v>
      </c>
      <c r="H15" s="26"/>
      <c r="I15" s="28"/>
      <c r="J15" s="28"/>
      <c r="K15" s="56"/>
      <c r="T15" s="3"/>
    </row>
    <row r="16" spans="1:28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0.25277777777777755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0.23680555555555527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0.24305555555555536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0.25208333333333333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0.24694444444444433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0.98777777777777731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77" t="s">
        <v>105</v>
      </c>
      <c r="I27" s="178" t="s">
        <v>104</v>
      </c>
      <c r="T27" s="3"/>
    </row>
    <row r="28" spans="1:20" ht="15.6" customHeight="1" x14ac:dyDescent="0.3">
      <c r="H28" s="177"/>
      <c r="I28" s="179"/>
      <c r="T28" s="3"/>
    </row>
    <row r="29" spans="1:20" ht="15.6" customHeight="1" x14ac:dyDescent="0.3">
      <c r="H29" s="177"/>
      <c r="I29" s="179"/>
      <c r="T29" s="3"/>
    </row>
    <row r="30" spans="1:20" ht="15.6" customHeight="1" x14ac:dyDescent="0.3">
      <c r="H30" s="177"/>
      <c r="I30" s="180"/>
      <c r="T30" s="3"/>
    </row>
    <row r="31" spans="1:20" x14ac:dyDescent="0.3">
      <c r="T31" s="3"/>
    </row>
    <row r="32" spans="1:20" x14ac:dyDescent="0.3">
      <c r="T32" s="3"/>
    </row>
    <row r="33" spans="8:20" x14ac:dyDescent="0.3">
      <c r="T33" s="3"/>
    </row>
    <row r="34" spans="8:20" x14ac:dyDescent="0.3">
      <c r="T34" s="3"/>
    </row>
    <row r="35" spans="8:20" x14ac:dyDescent="0.3">
      <c r="T35" s="3"/>
    </row>
    <row r="36" spans="8:20" x14ac:dyDescent="0.3">
      <c r="T36" s="3"/>
    </row>
    <row r="37" spans="8:20" x14ac:dyDescent="0.3">
      <c r="T37" s="3"/>
    </row>
    <row r="38" spans="8:20" x14ac:dyDescent="0.3">
      <c r="T38" s="3"/>
    </row>
    <row r="39" spans="8:20" x14ac:dyDescent="0.3">
      <c r="T39" s="3"/>
    </row>
    <row r="40" spans="8:20" x14ac:dyDescent="0.3">
      <c r="T40" s="3"/>
    </row>
    <row r="41" spans="8:20" x14ac:dyDescent="0.3">
      <c r="T41" s="3"/>
    </row>
    <row r="42" spans="8:20" x14ac:dyDescent="0.3">
      <c r="H42" t="s">
        <v>101</v>
      </c>
      <c r="T42" s="3"/>
    </row>
    <row r="43" spans="8:20" x14ac:dyDescent="0.3">
      <c r="T43" s="3"/>
    </row>
    <row r="44" spans="8:20" x14ac:dyDescent="0.3">
      <c r="T44" s="3"/>
    </row>
    <row r="45" spans="8:20" x14ac:dyDescent="0.3">
      <c r="T45" s="3"/>
    </row>
    <row r="46" spans="8:20" x14ac:dyDescent="0.3">
      <c r="T46" s="3"/>
    </row>
    <row r="47" spans="8:20" x14ac:dyDescent="0.3">
      <c r="T47" s="3"/>
    </row>
    <row r="48" spans="8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showGridLines="0" zoomScale="60" zoomScaleNormal="60" workbookViewId="0">
      <selection activeCell="G4" sqref="G4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4" width="14.19921875" customWidth="1"/>
    <col min="5" max="5" width="14.3984375" customWidth="1"/>
    <col min="6" max="6" width="15.8984375" customWidth="1"/>
    <col min="7" max="7" width="13.69921875" customWidth="1"/>
    <col min="8" max="8" width="14.3984375" customWidth="1"/>
    <col min="9" max="9" width="14.59765625" customWidth="1"/>
    <col min="10" max="10" width="16.19921875" customWidth="1"/>
    <col min="11" max="11" width="26.69921875" customWidth="1"/>
    <col min="12" max="12" width="12.19921875" bestFit="1" customWidth="1"/>
    <col min="22" max="22" width="14.19921875" customWidth="1"/>
  </cols>
  <sheetData>
    <row r="1" spans="1:24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4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</row>
    <row r="3" spans="1:24" x14ac:dyDescent="0.3">
      <c r="A3" s="12" t="s">
        <v>89</v>
      </c>
      <c r="B3" s="12" t="s">
        <v>37</v>
      </c>
      <c r="C3" s="4">
        <f>+Tabla5[[#This Row],[FECHA]]</f>
        <v>44886</v>
      </c>
      <c r="D3" s="37">
        <v>0.34027777777777773</v>
      </c>
      <c r="E3" s="37">
        <v>0.375</v>
      </c>
      <c r="F3" s="37">
        <v>0.3840277777777778</v>
      </c>
      <c r="G3" s="37">
        <v>0.61041666666666672</v>
      </c>
      <c r="H3" s="37">
        <v>0.61458333333333337</v>
      </c>
      <c r="I3" s="37">
        <v>0.63888888888888895</v>
      </c>
      <c r="J3" s="46">
        <v>0.65972222222222221</v>
      </c>
      <c r="K3" s="47"/>
      <c r="L3" s="53"/>
      <c r="M3" s="53"/>
      <c r="N3" s="57" t="s">
        <v>15</v>
      </c>
      <c r="O3" s="4">
        <f>Tabla536[[#This Row],[FECHA]]</f>
        <v>44886</v>
      </c>
      <c r="P3" s="7">
        <f>D3</f>
        <v>0.34027777777777773</v>
      </c>
      <c r="Q3" s="7">
        <f>E3-D3</f>
        <v>3.4722222222222265E-2</v>
      </c>
      <c r="R3" s="7">
        <f>F3-E3</f>
        <v>9.0277777777778012E-3</v>
      </c>
      <c r="S3" s="7">
        <f>G3-F3</f>
        <v>0.22638888888888892</v>
      </c>
      <c r="T3" s="7">
        <f>+Tabla536[[#This Row],[ALMUERZO]]-Tabla536[[#This Row],[TERMINO ACT. AM]]</f>
        <v>4.1666666666666519E-3</v>
      </c>
      <c r="U3" s="7">
        <f>+Tabla536[[#This Row],[INICIO ACTIVIDADES PM]]-Tabla536[[#This Row],[ALMUERZO]]</f>
        <v>2.430555555555558E-2</v>
      </c>
      <c r="V3" s="7">
        <f>+Tabla536[[#This Row],[TERMINO ACTIVIDADES PM]]-Tabla536[[#This Row],[INICIO ACTIVIDADES PM]]</f>
        <v>2.0833333333333259E-2</v>
      </c>
      <c r="W3" s="3">
        <f>+$D$1</f>
        <v>0.33333333333333331</v>
      </c>
      <c r="X3" s="3">
        <f>+$E$1</f>
        <v>0.35416666666666669</v>
      </c>
    </row>
    <row r="4" spans="1:24" x14ac:dyDescent="0.3">
      <c r="A4" s="12" t="s">
        <v>89</v>
      </c>
      <c r="B4" s="12" t="s">
        <v>26</v>
      </c>
      <c r="C4" s="4">
        <f>+Tabla5[[#This Row],[FECHA]]</f>
        <v>44887</v>
      </c>
      <c r="D4" s="37">
        <v>0.4201388888888889</v>
      </c>
      <c r="E4" s="37">
        <v>0.42499999999999999</v>
      </c>
      <c r="F4" s="37">
        <v>0.43333333333333335</v>
      </c>
      <c r="G4" s="37">
        <v>0.60833333333333328</v>
      </c>
      <c r="H4" s="37">
        <v>0.61458333333333337</v>
      </c>
      <c r="I4" s="37">
        <v>0.64027777777777783</v>
      </c>
      <c r="J4" s="46">
        <v>0.65972222222222221</v>
      </c>
      <c r="K4" s="47" t="s">
        <v>129</v>
      </c>
      <c r="M4" s="5"/>
      <c r="N4" s="5" t="s">
        <v>16</v>
      </c>
      <c r="O4" s="4">
        <f>Tabla536[[#This Row],[FECHA]]</f>
        <v>44887</v>
      </c>
      <c r="P4" s="7">
        <f>D4</f>
        <v>0.4201388888888889</v>
      </c>
      <c r="Q4" s="7">
        <f t="shared" ref="Q4:S7" si="0">E4-D4</f>
        <v>4.8611111111110938E-3</v>
      </c>
      <c r="R4" s="7">
        <f t="shared" si="0"/>
        <v>8.3333333333333592E-3</v>
      </c>
      <c r="S4" s="7">
        <f t="shared" si="0"/>
        <v>0.17499999999999993</v>
      </c>
      <c r="T4" s="7">
        <f>+Tabla536[[#This Row],[ALMUERZO]]-Tabla536[[#This Row],[TERMINO ACT. AM]]</f>
        <v>6.2500000000000888E-3</v>
      </c>
      <c r="U4" s="7">
        <f>+Tabla536[[#This Row],[INICIO ACTIVIDADES PM]]-Tabla536[[#This Row],[ALMUERZO]]</f>
        <v>2.5694444444444464E-2</v>
      </c>
      <c r="V4" s="7">
        <f>+Tabla536[[#This Row],[TERMINO ACTIVIDADES PM]]-Tabla536[[#This Row],[INICIO ACTIVIDADES PM]]</f>
        <v>1.9444444444444375E-2</v>
      </c>
      <c r="W4" s="3">
        <f t="shared" ref="W4:W7" si="1">+$D$1</f>
        <v>0.33333333333333331</v>
      </c>
      <c r="X4" s="3">
        <f t="shared" ref="X4:X7" si="2">+$E$1</f>
        <v>0.35416666666666669</v>
      </c>
    </row>
    <row r="5" spans="1:24" x14ac:dyDescent="0.3">
      <c r="A5" s="12" t="s">
        <v>89</v>
      </c>
      <c r="B5" s="12" t="s">
        <v>27</v>
      </c>
      <c r="C5" s="4">
        <f>+Tabla5[[#This Row],[FECHA]]</f>
        <v>44888</v>
      </c>
      <c r="D5" s="37">
        <v>0.33680555555555558</v>
      </c>
      <c r="E5" s="37">
        <v>0.37152777777777773</v>
      </c>
      <c r="F5" s="37">
        <v>0.38541666666666669</v>
      </c>
      <c r="G5" s="37">
        <v>0.60763888888888895</v>
      </c>
      <c r="H5" s="37">
        <v>0.61458333333333337</v>
      </c>
      <c r="I5" s="37">
        <v>0.63888888888888895</v>
      </c>
      <c r="J5" s="46">
        <v>0.65972222222222221</v>
      </c>
      <c r="K5" s="47"/>
      <c r="M5" s="5"/>
      <c r="N5" s="5" t="s">
        <v>16</v>
      </c>
      <c r="O5" s="4">
        <f>Tabla536[[#This Row],[FECHA]]</f>
        <v>44888</v>
      </c>
      <c r="P5" s="7">
        <f>D5</f>
        <v>0.33680555555555558</v>
      </c>
      <c r="Q5" s="7">
        <f t="shared" si="0"/>
        <v>3.4722222222222154E-2</v>
      </c>
      <c r="R5" s="7">
        <f t="shared" si="0"/>
        <v>1.3888888888888951E-2</v>
      </c>
      <c r="S5" s="7">
        <f t="shared" si="0"/>
        <v>0.22222222222222227</v>
      </c>
      <c r="T5" s="7">
        <f>+Tabla536[[#This Row],[ALMUERZO]]-Tabla536[[#This Row],[TERMINO ACT. AM]]</f>
        <v>6.9444444444444198E-3</v>
      </c>
      <c r="U5" s="7">
        <f>+Tabla536[[#This Row],[INICIO ACTIVIDADES PM]]-Tabla536[[#This Row],[ALMUERZO]]</f>
        <v>2.430555555555558E-2</v>
      </c>
      <c r="V5" s="7">
        <f>+Tabla536[[#This Row],[TERMINO ACTIVIDADES PM]]-Tabla536[[#This Row],[INICIO ACTIVIDADES PM]]</f>
        <v>2.0833333333333259E-2</v>
      </c>
      <c r="W5" s="3">
        <f t="shared" si="1"/>
        <v>0.33333333333333331</v>
      </c>
      <c r="X5" s="3">
        <f t="shared" si="2"/>
        <v>0.35416666666666669</v>
      </c>
    </row>
    <row r="6" spans="1:24" x14ac:dyDescent="0.3">
      <c r="A6" s="12" t="s">
        <v>89</v>
      </c>
      <c r="B6" s="12" t="s">
        <v>28</v>
      </c>
      <c r="C6" s="4">
        <f>+Tabla5[[#This Row],[FECHA]]</f>
        <v>44889</v>
      </c>
      <c r="D6" s="37">
        <v>0.34375</v>
      </c>
      <c r="E6" s="37">
        <v>0.36805555555555558</v>
      </c>
      <c r="F6" s="37">
        <v>0.37847222222222227</v>
      </c>
      <c r="G6" s="37">
        <v>0.60486111111111118</v>
      </c>
      <c r="H6" s="37">
        <v>0.61111111111111105</v>
      </c>
      <c r="I6" s="37">
        <v>0.63194444444444442</v>
      </c>
      <c r="J6" s="46">
        <v>0.65972222222222221</v>
      </c>
      <c r="K6" s="47"/>
      <c r="M6" s="5"/>
      <c r="N6" s="5" t="s">
        <v>17</v>
      </c>
      <c r="O6" s="4">
        <f>Tabla536[[#This Row],[FECHA]]</f>
        <v>44889</v>
      </c>
      <c r="P6" s="7">
        <f>D6</f>
        <v>0.34375</v>
      </c>
      <c r="Q6" s="7">
        <f t="shared" si="0"/>
        <v>2.430555555555558E-2</v>
      </c>
      <c r="R6" s="7">
        <f t="shared" si="0"/>
        <v>1.0416666666666685E-2</v>
      </c>
      <c r="S6" s="7">
        <f t="shared" si="0"/>
        <v>0.22638888888888892</v>
      </c>
      <c r="T6" s="7">
        <f>+Tabla536[[#This Row],[ALMUERZO]]-Tabla536[[#This Row],[TERMINO ACT. AM]]</f>
        <v>6.2499999999998668E-3</v>
      </c>
      <c r="U6" s="7">
        <f>+Tabla536[[#This Row],[INICIO ACTIVIDADES PM]]-Tabla536[[#This Row],[ALMUERZO]]</f>
        <v>2.083333333333337E-2</v>
      </c>
      <c r="V6" s="7">
        <f>+Tabla536[[#This Row],[TERMINO ACTIVIDADES PM]]-Tabla536[[#This Row],[INICIO ACTIVIDADES PM]]</f>
        <v>2.777777777777779E-2</v>
      </c>
      <c r="W6" s="3">
        <f t="shared" si="1"/>
        <v>0.33333333333333331</v>
      </c>
      <c r="X6" s="3">
        <f t="shared" si="2"/>
        <v>0.35416666666666669</v>
      </c>
    </row>
    <row r="7" spans="1:24" x14ac:dyDescent="0.3">
      <c r="A7" s="12" t="s">
        <v>89</v>
      </c>
      <c r="B7" s="12" t="s">
        <v>38</v>
      </c>
      <c r="C7" s="4">
        <f>+Tabla5[[#This Row],[FECHA]]</f>
        <v>44890</v>
      </c>
      <c r="D7" s="37">
        <v>0.34375</v>
      </c>
      <c r="E7" s="37">
        <v>0.36458333333333331</v>
      </c>
      <c r="F7" s="37">
        <v>0.37708333333333338</v>
      </c>
      <c r="G7" s="37">
        <v>0.60833333333333328</v>
      </c>
      <c r="H7" s="37">
        <v>0.61458333333333337</v>
      </c>
      <c r="I7" s="37">
        <v>0.63541666666666663</v>
      </c>
      <c r="J7" s="46">
        <v>0.65972222222222221</v>
      </c>
      <c r="K7" s="47"/>
      <c r="M7" s="5"/>
      <c r="N7" s="5" t="s">
        <v>18</v>
      </c>
      <c r="O7" s="4">
        <f>Tabla536[[#This Row],[FECHA]]</f>
        <v>44890</v>
      </c>
      <c r="P7" s="7">
        <f>D7</f>
        <v>0.34375</v>
      </c>
      <c r="Q7" s="7">
        <f t="shared" si="0"/>
        <v>2.0833333333333315E-2</v>
      </c>
      <c r="R7" s="7">
        <f t="shared" si="0"/>
        <v>1.2500000000000067E-2</v>
      </c>
      <c r="S7" s="7">
        <f t="shared" si="0"/>
        <v>0.2312499999999999</v>
      </c>
      <c r="T7" s="7">
        <f>+Tabla536[[#This Row],[ALMUERZO]]-Tabla536[[#This Row],[TERMINO ACT. AM]]</f>
        <v>6.2500000000000888E-3</v>
      </c>
      <c r="U7" s="7">
        <f>+Tabla536[[#This Row],[INICIO ACTIVIDADES PM]]-Tabla536[[#This Row],[ALMUERZO]]</f>
        <v>2.0833333333333259E-2</v>
      </c>
      <c r="V7" s="7">
        <f>+Tabla536[[#This Row],[TERMINO ACTIVIDADES PM]]-Tabla536[[#This Row],[INICIO ACTIVIDADES PM]]</f>
        <v>2.430555555555558E-2</v>
      </c>
      <c r="W7" s="3">
        <f t="shared" si="1"/>
        <v>0.33333333333333331</v>
      </c>
      <c r="X7" s="3">
        <f t="shared" si="2"/>
        <v>0.35416666666666669</v>
      </c>
    </row>
    <row r="8" spans="1:24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</row>
    <row r="9" spans="1:24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Tabla536[[#This Row],[Columna1]]</f>
        <v>0</v>
      </c>
      <c r="N9" s="5"/>
      <c r="O9" s="4"/>
      <c r="V9" s="7"/>
      <c r="W9" s="3"/>
      <c r="X9" s="3"/>
    </row>
    <row r="10" spans="1:24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V10" s="7"/>
      <c r="W10" s="3"/>
      <c r="X10" s="3"/>
    </row>
    <row r="11" spans="1:24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V11" s="7"/>
      <c r="W11" s="3"/>
      <c r="X11" s="3"/>
    </row>
    <row r="12" spans="1:24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V12" s="7"/>
      <c r="W12" s="3"/>
      <c r="X12" s="3"/>
    </row>
    <row r="13" spans="1:24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V13" s="7"/>
      <c r="W13" s="3"/>
      <c r="X13" s="3"/>
    </row>
    <row r="14" spans="1:24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"/>
      <c r="W14" s="3"/>
      <c r="X14" s="3"/>
    </row>
    <row r="15" spans="1:24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57</v>
      </c>
      <c r="H15" s="26"/>
      <c r="I15" s="28"/>
      <c r="J15" s="28"/>
      <c r="K15" s="56"/>
    </row>
    <row r="16" spans="1:24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0.24722222222222218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0.19444444444444431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0.24305555555555552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0.25416666666666671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0.25555555555555548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0.23888888888888885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22"/>
      <c r="B23" s="22"/>
      <c r="C23" s="22"/>
      <c r="D23" s="22"/>
      <c r="E23" s="22"/>
      <c r="F23" s="30" t="s">
        <v>41</v>
      </c>
      <c r="G23" s="44">
        <f>G21/G22</f>
        <v>0.95555555555555538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H28" s="177" t="s">
        <v>105</v>
      </c>
      <c r="I28" s="178" t="s">
        <v>103</v>
      </c>
      <c r="T28" s="3"/>
    </row>
    <row r="29" spans="1:20" ht="15.6" customHeight="1" x14ac:dyDescent="0.3">
      <c r="H29" s="177"/>
      <c r="I29" s="179"/>
      <c r="T29" s="3"/>
    </row>
    <row r="30" spans="1:20" ht="15.6" customHeight="1" x14ac:dyDescent="0.3">
      <c r="H30" s="177"/>
      <c r="I30" s="179"/>
      <c r="T30" s="3"/>
    </row>
    <row r="31" spans="1:20" ht="15.6" customHeight="1" x14ac:dyDescent="0.3">
      <c r="H31" s="177"/>
      <c r="I31" s="180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showGridLines="0" zoomScale="60" zoomScaleNormal="60" workbookViewId="0">
      <selection activeCell="H6" sqref="H6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4" width="12.69921875" customWidth="1"/>
    <col min="5" max="5" width="14.19921875" customWidth="1"/>
    <col min="6" max="6" width="15.8984375" customWidth="1"/>
    <col min="7" max="7" width="14.8984375" customWidth="1"/>
    <col min="8" max="8" width="15.09765625" customWidth="1"/>
    <col min="9" max="10" width="14.8984375" customWidth="1"/>
    <col min="11" max="11" width="19.3984375" customWidth="1"/>
    <col min="12" max="12" width="15.59765625" customWidth="1"/>
    <col min="13" max="13" width="13.3984375" customWidth="1"/>
    <col min="14" max="14" width="6.19921875" customWidth="1"/>
    <col min="15" max="15" width="16.59765625" bestFit="1" customWidth="1"/>
    <col min="16" max="16" width="11.19921875" customWidth="1"/>
    <col min="17" max="17" width="17.09765625" bestFit="1" customWidth="1"/>
    <col min="18" max="18" width="15.19921875" bestFit="1" customWidth="1"/>
    <col min="19" max="19" width="16.3984375" customWidth="1"/>
    <col min="20" max="20" width="19.19921875" customWidth="1"/>
    <col min="21" max="21" width="16.09765625" customWidth="1"/>
    <col min="22" max="22" width="18.8984375" bestFit="1" customWidth="1"/>
    <col min="23" max="23" width="16.09765625" customWidth="1"/>
    <col min="24" max="24" width="14.19921875" customWidth="1"/>
    <col min="25" max="25" width="11" customWidth="1"/>
    <col min="26" max="26" width="23.8984375" bestFit="1" customWidth="1"/>
    <col min="27" max="27" width="12.59765625" bestFit="1" customWidth="1"/>
    <col min="28" max="28" width="17.19921875" customWidth="1"/>
    <col min="29" max="29" width="17.8984375" customWidth="1"/>
    <col min="30" max="30" width="17.5" customWidth="1"/>
    <col min="31" max="31" width="18.19921875" bestFit="1" customWidth="1"/>
    <col min="32" max="32" width="12.8984375" bestFit="1" customWidth="1"/>
    <col min="33" max="33" width="12.19921875" bestFit="1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97</v>
      </c>
      <c r="B3" s="12" t="s">
        <v>37</v>
      </c>
      <c r="C3" s="4">
        <f>+Tabla5[[#This Row],[FECHA]]</f>
        <v>44886</v>
      </c>
      <c r="D3" s="37">
        <v>0.67361111111111116</v>
      </c>
      <c r="E3" s="37">
        <v>0.69444444444444453</v>
      </c>
      <c r="F3" s="37">
        <v>0.71597222222222223</v>
      </c>
      <c r="G3" s="37">
        <v>0.93055555555555547</v>
      </c>
      <c r="H3" s="37">
        <v>0.9375</v>
      </c>
      <c r="I3" s="37">
        <v>0.96180555555555547</v>
      </c>
      <c r="J3" s="46">
        <v>0.98958333333333337</v>
      </c>
      <c r="K3" s="47"/>
      <c r="L3" s="53"/>
      <c r="M3" s="53"/>
      <c r="N3" s="57" t="s">
        <v>15</v>
      </c>
      <c r="O3" s="4">
        <f>Tabla537[[#This Row],[FECHA]]</f>
        <v>44886</v>
      </c>
      <c r="P3" s="7">
        <f>D3</f>
        <v>0.67361111111111116</v>
      </c>
      <c r="Q3" s="7">
        <f>E3-D3</f>
        <v>2.083333333333337E-2</v>
      </c>
      <c r="R3" s="7">
        <f>F3-E3</f>
        <v>2.1527777777777701E-2</v>
      </c>
      <c r="S3" s="7">
        <f>G3-F3</f>
        <v>0.21458333333333324</v>
      </c>
      <c r="T3" s="7">
        <f>+Tabla537[[#This Row],[ALMUERZO]]-Tabla537[[#This Row],[TERMINO ACT. AM]]</f>
        <v>6.9444444444445308E-3</v>
      </c>
      <c r="U3" s="7">
        <f>+Tabla537[[#This Row],[INICIO ACTIVIDADES PM]]-Tabla537[[#This Row],[ALMUERZO]]</f>
        <v>2.4305555555555469E-2</v>
      </c>
      <c r="V3" s="7">
        <f>+Tabla537[[#This Row],[TERMINO ACTIVIDADES PM]]-Tabla537[[#This Row],[INICIO ACTIVIDADES PM]]</f>
        <v>2.7777777777777901E-2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97</v>
      </c>
      <c r="B4" s="12" t="s">
        <v>26</v>
      </c>
      <c r="C4" s="4">
        <f>+Tabla5[[#This Row],[FECHA]]</f>
        <v>44887</v>
      </c>
      <c r="D4" s="37">
        <v>0.67361111111111116</v>
      </c>
      <c r="E4" s="37">
        <v>0.69444444444444453</v>
      </c>
      <c r="F4" s="37">
        <v>0.71319444444444446</v>
      </c>
      <c r="G4" s="37">
        <v>0.94444444444444453</v>
      </c>
      <c r="H4" s="37">
        <v>0.95486111111111116</v>
      </c>
      <c r="I4" s="37">
        <v>0.97916666666666663</v>
      </c>
      <c r="J4" s="46">
        <v>0.99305555555555547</v>
      </c>
      <c r="K4" s="47"/>
      <c r="M4" s="5"/>
      <c r="N4" s="5" t="s">
        <v>16</v>
      </c>
      <c r="O4" s="4">
        <f>Tabla537[[#This Row],[FECHA]]</f>
        <v>44887</v>
      </c>
      <c r="P4" s="7">
        <f>D4</f>
        <v>0.67361111111111116</v>
      </c>
      <c r="Q4" s="7">
        <f t="shared" ref="Q4:S7" si="0">E4-D4</f>
        <v>2.083333333333337E-2</v>
      </c>
      <c r="R4" s="7">
        <f t="shared" si="0"/>
        <v>1.8749999999999933E-2</v>
      </c>
      <c r="S4" s="7">
        <f t="shared" si="0"/>
        <v>0.23125000000000007</v>
      </c>
      <c r="T4" s="7">
        <f>+Tabla537[[#This Row],[ALMUERZO]]-Tabla537[[#This Row],[TERMINO ACT. AM]]</f>
        <v>1.041666666666663E-2</v>
      </c>
      <c r="U4" s="7">
        <f>+Tabla537[[#This Row],[INICIO ACTIVIDADES PM]]-Tabla537[[#This Row],[ALMUERZO]]</f>
        <v>2.4305555555555469E-2</v>
      </c>
      <c r="V4" s="7">
        <f>+Tabla537[[#This Row],[TERMINO ACTIVIDADES PM]]-Tabla537[[#This Row],[INICIO ACTIVIDADES PM]]</f>
        <v>1.388888888888884E-2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97</v>
      </c>
      <c r="B5" s="12" t="s">
        <v>27</v>
      </c>
      <c r="C5" s="4">
        <f>+Tabla5[[#This Row],[FECHA]]</f>
        <v>44888</v>
      </c>
      <c r="D5" s="37">
        <v>0.67361111111111116</v>
      </c>
      <c r="E5" s="37">
        <v>0.69097222222222221</v>
      </c>
      <c r="F5" s="37">
        <v>0.71666666666666667</v>
      </c>
      <c r="G5" s="37">
        <v>0.95208333333333339</v>
      </c>
      <c r="H5" s="37">
        <v>0.95763888888888893</v>
      </c>
      <c r="I5" s="37">
        <v>0.97916666666666663</v>
      </c>
      <c r="J5" s="46">
        <v>0.99305555555555547</v>
      </c>
      <c r="K5" s="47"/>
      <c r="M5" s="5"/>
      <c r="N5" s="5" t="s">
        <v>16</v>
      </c>
      <c r="O5" s="4">
        <f>Tabla537[[#This Row],[FECHA]]</f>
        <v>44888</v>
      </c>
      <c r="P5" s="7">
        <f>D5</f>
        <v>0.67361111111111116</v>
      </c>
      <c r="Q5" s="7">
        <f t="shared" si="0"/>
        <v>1.7361111111111049E-2</v>
      </c>
      <c r="R5" s="7">
        <f t="shared" si="0"/>
        <v>2.5694444444444464E-2</v>
      </c>
      <c r="S5" s="7">
        <f t="shared" si="0"/>
        <v>0.23541666666666672</v>
      </c>
      <c r="T5" s="7">
        <f>+Tabla537[[#This Row],[ALMUERZO]]-Tabla537[[#This Row],[TERMINO ACT. AM]]</f>
        <v>5.5555555555555358E-3</v>
      </c>
      <c r="U5" s="7">
        <f>+Tabla537[[#This Row],[INICIO ACTIVIDADES PM]]-Tabla537[[#This Row],[ALMUERZO]]</f>
        <v>2.1527777777777701E-2</v>
      </c>
      <c r="V5" s="7">
        <f>+Tabla537[[#This Row],[TERMINO ACTIVIDADES PM]]-Tabla537[[#This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97</v>
      </c>
      <c r="B6" s="12" t="s">
        <v>28</v>
      </c>
      <c r="C6" s="4">
        <f>+Tabla5[[#This Row],[FECHA]]</f>
        <v>44889</v>
      </c>
      <c r="D6" s="37">
        <v>0.67361111111111116</v>
      </c>
      <c r="E6" s="37">
        <v>0.6958333333333333</v>
      </c>
      <c r="F6" s="37">
        <v>0.71180555555555547</v>
      </c>
      <c r="G6" s="37">
        <v>0.92361111111111116</v>
      </c>
      <c r="H6" s="37">
        <v>0.93402777777777779</v>
      </c>
      <c r="I6" s="37">
        <v>0.95833333333333337</v>
      </c>
      <c r="J6" s="46">
        <v>0.99305555555555547</v>
      </c>
      <c r="K6" s="47"/>
      <c r="M6" s="5"/>
      <c r="N6" s="5" t="s">
        <v>17</v>
      </c>
      <c r="O6" s="4">
        <f>Tabla537[[#This Row],[FECHA]]</f>
        <v>44889</v>
      </c>
      <c r="P6" s="7">
        <f>D6</f>
        <v>0.67361111111111116</v>
      </c>
      <c r="Q6" s="7">
        <f t="shared" si="0"/>
        <v>2.2222222222222143E-2</v>
      </c>
      <c r="R6" s="7">
        <f t="shared" si="0"/>
        <v>1.5972222222222165E-2</v>
      </c>
      <c r="S6" s="7">
        <f t="shared" si="0"/>
        <v>0.21180555555555569</v>
      </c>
      <c r="T6" s="7">
        <f>+Tabla537[[#This Row],[ALMUERZO]]-Tabla537[[#This Row],[TERMINO ACT. AM]]</f>
        <v>1.041666666666663E-2</v>
      </c>
      <c r="U6" s="7">
        <f>+Tabla537[[#This Row],[INICIO ACTIVIDADES PM]]-Tabla537[[#This Row],[ALMUERZO]]</f>
        <v>2.430555555555558E-2</v>
      </c>
      <c r="V6" s="7">
        <f>+Tabla537[[#This Row],[TERMINO ACTIVIDADES PM]]-Tabla537[[#This Row],[INICIO ACTIVIDADES PM]]</f>
        <v>3.4722222222222099E-2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97</v>
      </c>
      <c r="B7" s="12" t="s">
        <v>38</v>
      </c>
      <c r="C7" s="4">
        <f>+Tabla5[[#This Row],[FECHA]]</f>
        <v>44890</v>
      </c>
      <c r="D7" s="37">
        <v>0.67361111111111116</v>
      </c>
      <c r="E7" s="37">
        <v>0.69444444444444453</v>
      </c>
      <c r="F7" s="37">
        <v>0.71875</v>
      </c>
      <c r="G7" s="37">
        <v>0.94444444444444453</v>
      </c>
      <c r="H7" s="37">
        <v>0.95138888888888884</v>
      </c>
      <c r="I7" s="37">
        <v>0.97222222222222221</v>
      </c>
      <c r="J7" s="46">
        <v>0.99305555555555547</v>
      </c>
      <c r="K7" s="47"/>
      <c r="M7" s="5"/>
      <c r="N7" s="5" t="s">
        <v>18</v>
      </c>
      <c r="O7" s="4">
        <f>Tabla537[[#This Row],[FECHA]]</f>
        <v>44890</v>
      </c>
      <c r="P7" s="7">
        <f>D7</f>
        <v>0.67361111111111116</v>
      </c>
      <c r="Q7" s="7">
        <f t="shared" si="0"/>
        <v>2.083333333333337E-2</v>
      </c>
      <c r="R7" s="7">
        <f t="shared" si="0"/>
        <v>2.4305555555555469E-2</v>
      </c>
      <c r="S7" s="7">
        <f t="shared" si="0"/>
        <v>0.22569444444444453</v>
      </c>
      <c r="T7" s="7">
        <f>+Tabla537[[#This Row],[ALMUERZO]]-Tabla537[[#This Row],[TERMINO ACT. AM]]</f>
        <v>6.9444444444443088E-3</v>
      </c>
      <c r="U7" s="7">
        <f>+Tabla537[[#This Row],[INICIO ACTIVIDADES PM]]-Tabla537[[#This Row],[ALMUERZO]]</f>
        <v>2.083333333333337E-2</v>
      </c>
      <c r="V7" s="7">
        <f>+Tabla537[[#This Row],[TERMINO ACTIVIDADES PM]]-Tabla537[[#This Row],[INICIO ACTIVIDADES PM]]</f>
        <v>2.0833333333333259E-2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11"/>
      <c r="D8" s="11"/>
      <c r="E8" s="11"/>
      <c r="F8" s="11"/>
      <c r="G8" s="11"/>
      <c r="H8" s="11"/>
      <c r="I8" s="56"/>
      <c r="J8" s="4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Tabla537[[#This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102</v>
      </c>
      <c r="G15" s="26" t="s">
        <v>80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0.24236111111111114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0.24513888888888891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0.24930555555555556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0.24652777777777779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0.24652777777777779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0.2459722222222222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0.98388888888888881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H28" s="177" t="s">
        <v>105</v>
      </c>
      <c r="I28" s="178" t="s">
        <v>104</v>
      </c>
      <c r="T28" s="3"/>
    </row>
    <row r="29" spans="1:20" ht="15.6" customHeight="1" x14ac:dyDescent="0.3">
      <c r="H29" s="177"/>
      <c r="I29" s="179"/>
      <c r="T29" s="3"/>
    </row>
    <row r="30" spans="1:20" ht="15.6" customHeight="1" x14ac:dyDescent="0.3">
      <c r="H30" s="177"/>
      <c r="I30" s="179"/>
      <c r="T30" s="3"/>
    </row>
    <row r="31" spans="1:20" ht="15.6" customHeight="1" x14ac:dyDescent="0.3">
      <c r="H31" s="177"/>
      <c r="I31" s="180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20:20" x14ac:dyDescent="0.3">
      <c r="T65" s="3"/>
    </row>
    <row r="66" spans="20:20" x14ac:dyDescent="0.3">
      <c r="T66" s="3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="60" zoomScaleNormal="60" workbookViewId="0">
      <selection activeCell="H8" sqref="G8:H8"/>
    </sheetView>
  </sheetViews>
  <sheetFormatPr baseColWidth="10" defaultRowHeight="15.6" x14ac:dyDescent="0.3"/>
  <cols>
    <col min="1" max="1" width="12" customWidth="1"/>
    <col min="2" max="2" width="12.19921875" customWidth="1"/>
    <col min="3" max="3" width="12.69921875" customWidth="1"/>
    <col min="4" max="4" width="11.3984375" customWidth="1"/>
    <col min="5" max="5" width="12" customWidth="1"/>
    <col min="6" max="6" width="19.8984375" customWidth="1"/>
    <col min="7" max="7" width="16.3984375" customWidth="1"/>
    <col min="11" max="11" width="23.699218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98</v>
      </c>
      <c r="B3" s="12" t="s">
        <v>37</v>
      </c>
      <c r="C3" s="4">
        <f>+Tabla5[[#This Row],[FECHA]]</f>
        <v>44886</v>
      </c>
      <c r="D3" s="37">
        <v>0.33333333333333331</v>
      </c>
      <c r="E3" s="37">
        <v>0.34375</v>
      </c>
      <c r="F3" s="37">
        <v>0.34722222222222227</v>
      </c>
      <c r="G3" s="37">
        <v>0.53819444444444442</v>
      </c>
      <c r="H3" s="37">
        <v>0.54166666666666663</v>
      </c>
      <c r="I3" s="37">
        <v>0.57291666666666663</v>
      </c>
      <c r="J3" s="46">
        <v>0.83333333333333337</v>
      </c>
      <c r="K3" s="47" t="s">
        <v>93</v>
      </c>
      <c r="L3" s="53"/>
      <c r="M3" s="53"/>
      <c r="N3" s="57" t="s">
        <v>15</v>
      </c>
      <c r="O3" s="4">
        <f>Tabla538[[#This Row],[FECHA]]</f>
        <v>44886</v>
      </c>
      <c r="P3" s="7">
        <f>D3</f>
        <v>0.33333333333333331</v>
      </c>
      <c r="Q3" s="7">
        <f>E3-D3</f>
        <v>1.0416666666666685E-2</v>
      </c>
      <c r="R3" s="7">
        <f>F3-E3</f>
        <v>3.4722222222222654E-3</v>
      </c>
      <c r="S3" s="7">
        <f>G3-F3</f>
        <v>0.19097222222222215</v>
      </c>
      <c r="T3" s="7">
        <f>+Tabla538[[#This Row],[ALMUERZO]]-Tabla538[[#This Row],[TERMINO ACT. AM]]</f>
        <v>3.4722222222222099E-3</v>
      </c>
      <c r="U3" s="7">
        <f>+Tabla538[[#This Row],[INICIO ACTIVIDADES PM]]-Tabla538[[#This Row],[ALMUERZO]]</f>
        <v>3.125E-2</v>
      </c>
      <c r="V3" s="7">
        <f>+Tabla538[[#This Row],[TERMINO ACTIVIDADES PM]]-Tabla538[[#This Row],[INICIO ACTIVIDADES PM]]</f>
        <v>0.26041666666666674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98</v>
      </c>
      <c r="B4" s="12" t="s">
        <v>26</v>
      </c>
      <c r="C4" s="4">
        <f>+Tabla5[[#This Row],[FECHA]]</f>
        <v>44887</v>
      </c>
      <c r="D4" s="37">
        <v>0.40625</v>
      </c>
      <c r="E4" s="37">
        <v>0.40972222222222227</v>
      </c>
      <c r="F4" s="37">
        <v>0.41319444444444442</v>
      </c>
      <c r="G4" s="37">
        <v>0.52777777777777779</v>
      </c>
      <c r="H4" s="37">
        <v>0.53472222222222221</v>
      </c>
      <c r="I4" s="37">
        <v>0.56597222222222221</v>
      </c>
      <c r="J4" s="46">
        <v>0.83333333333333337</v>
      </c>
      <c r="K4" s="47" t="s">
        <v>129</v>
      </c>
      <c r="M4" s="5"/>
      <c r="N4" s="5" t="s">
        <v>16</v>
      </c>
      <c r="O4" s="4">
        <f>Tabla538[[#This Row],[FECHA]]</f>
        <v>44887</v>
      </c>
      <c r="P4" s="7">
        <f>D4</f>
        <v>0.40625</v>
      </c>
      <c r="Q4" s="7">
        <f t="shared" ref="Q4:S7" si="0">E4-D4</f>
        <v>3.4722222222222654E-3</v>
      </c>
      <c r="R4" s="7">
        <f t="shared" si="0"/>
        <v>3.4722222222221544E-3</v>
      </c>
      <c r="S4" s="7">
        <f t="shared" si="0"/>
        <v>0.11458333333333337</v>
      </c>
      <c r="T4" s="7">
        <f>+Tabla538[[#This Row],[ALMUERZO]]-Tabla538[[#This Row],[TERMINO ACT. AM]]</f>
        <v>6.9444444444444198E-3</v>
      </c>
      <c r="U4" s="7">
        <f>+Tabla538[[#This Row],[INICIO ACTIVIDADES PM]]-Tabla538[[#This Row],[ALMUERZO]]</f>
        <v>3.125E-2</v>
      </c>
      <c r="V4" s="7">
        <f>+Tabla538[[#This Row],[TERMINO ACTIVIDADES PM]]-Tabla538[[#This Row],[INICIO ACTIVIDADES PM]]</f>
        <v>0.26736111111111116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98</v>
      </c>
      <c r="B5" s="12" t="s">
        <v>27</v>
      </c>
      <c r="C5" s="4">
        <f>+Tabla5[[#This Row],[FECHA]]</f>
        <v>44888</v>
      </c>
      <c r="D5" s="37">
        <v>0.33680555555555558</v>
      </c>
      <c r="E5" s="37">
        <v>0.34722222222222227</v>
      </c>
      <c r="F5" s="37">
        <v>0.34791666666666665</v>
      </c>
      <c r="G5" s="37">
        <v>0.54166666666666663</v>
      </c>
      <c r="H5" s="37">
        <v>0.54861111111111105</v>
      </c>
      <c r="I5" s="37">
        <v>0.57986111111111105</v>
      </c>
      <c r="J5" s="46">
        <v>0.83333333333333304</v>
      </c>
      <c r="K5" s="47" t="s">
        <v>93</v>
      </c>
      <c r="M5" s="5"/>
      <c r="N5" s="5" t="s">
        <v>16</v>
      </c>
      <c r="O5" s="4">
        <f>Tabla538[[#This Row],[FECHA]]</f>
        <v>44888</v>
      </c>
      <c r="P5" s="7">
        <f>D5</f>
        <v>0.33680555555555558</v>
      </c>
      <c r="Q5" s="7">
        <f t="shared" si="0"/>
        <v>1.0416666666666685E-2</v>
      </c>
      <c r="R5" s="7">
        <f t="shared" si="0"/>
        <v>6.9444444444438647E-4</v>
      </c>
      <c r="S5" s="7">
        <f t="shared" si="0"/>
        <v>0.19374999999999998</v>
      </c>
      <c r="T5" s="7">
        <f>+Tabla538[[#This Row],[ALMUERZO]]-Tabla538[[#This Row],[TERMINO ACT. AM]]</f>
        <v>6.9444444444444198E-3</v>
      </c>
      <c r="U5" s="7">
        <f>+Tabla538[[#This Row],[INICIO ACTIVIDADES PM]]-Tabla538[[#This Row],[ALMUERZO]]</f>
        <v>3.125E-2</v>
      </c>
      <c r="V5" s="7">
        <f>+Tabla538[[#This Row],[TERMINO ACTIVIDADES PM]]-Tabla538[[#This Row],[INICIO ACTIVIDADES PM]]</f>
        <v>0.25347222222222199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98</v>
      </c>
      <c r="B6" s="12" t="s">
        <v>28</v>
      </c>
      <c r="C6" s="4">
        <f>+Tabla5[[#This Row],[FECHA]]</f>
        <v>44889</v>
      </c>
      <c r="D6" s="37">
        <v>0.33680555555555558</v>
      </c>
      <c r="E6" s="37">
        <v>0.34722222222222227</v>
      </c>
      <c r="F6" s="37">
        <v>0.34930555555555554</v>
      </c>
      <c r="G6" s="37">
        <v>0.52777777777777779</v>
      </c>
      <c r="H6" s="37">
        <v>0.53819444444444442</v>
      </c>
      <c r="I6" s="37">
        <v>0.57291666666666663</v>
      </c>
      <c r="J6" s="46">
        <v>0.83333333333333304</v>
      </c>
      <c r="K6" s="47" t="s">
        <v>93</v>
      </c>
      <c r="M6" s="5"/>
      <c r="N6" s="5" t="s">
        <v>17</v>
      </c>
      <c r="O6" s="4">
        <f>Tabla538[[#This Row],[FECHA]]</f>
        <v>44889</v>
      </c>
      <c r="P6" s="7">
        <f>D6</f>
        <v>0.33680555555555558</v>
      </c>
      <c r="Q6" s="7">
        <f t="shared" si="0"/>
        <v>1.0416666666666685E-2</v>
      </c>
      <c r="R6" s="7">
        <f t="shared" si="0"/>
        <v>2.0833333333332704E-3</v>
      </c>
      <c r="S6" s="7">
        <f t="shared" si="0"/>
        <v>0.17847222222222225</v>
      </c>
      <c r="T6" s="7">
        <f>+Tabla538[[#This Row],[ALMUERZO]]-Tabla538[[#This Row],[TERMINO ACT. AM]]</f>
        <v>1.041666666666663E-2</v>
      </c>
      <c r="U6" s="7">
        <f>+Tabla538[[#This Row],[INICIO ACTIVIDADES PM]]-Tabla538[[#This Row],[ALMUERZO]]</f>
        <v>3.472222222222221E-2</v>
      </c>
      <c r="V6" s="7">
        <f>+Tabla538[[#This Row],[TERMINO ACTIVIDADES PM]]-Tabla538[[#This Row],[INICIO ACTIVIDADES PM]]</f>
        <v>0.26041666666666641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98</v>
      </c>
      <c r="B7" s="12" t="s">
        <v>38</v>
      </c>
      <c r="C7" s="4">
        <f>+Tabla5[[#This Row],[FECHA]]</f>
        <v>44890</v>
      </c>
      <c r="D7" s="37">
        <v>0.33333333333333331</v>
      </c>
      <c r="E7" s="37">
        <v>0.34375</v>
      </c>
      <c r="F7" s="37">
        <v>0.34722222222222227</v>
      </c>
      <c r="G7" s="37">
        <v>0.53125</v>
      </c>
      <c r="H7" s="37">
        <v>0.54166666666666663</v>
      </c>
      <c r="I7" s="37">
        <v>0.57638888888888895</v>
      </c>
      <c r="J7" s="46">
        <v>0.83333333333333304</v>
      </c>
      <c r="K7" s="47" t="s">
        <v>93</v>
      </c>
      <c r="M7" s="5"/>
      <c r="N7" s="5" t="s">
        <v>18</v>
      </c>
      <c r="O7" s="4">
        <f>Tabla538[[#This Row],[FECHA]]</f>
        <v>44890</v>
      </c>
      <c r="P7" s="7">
        <f>D7</f>
        <v>0.33333333333333331</v>
      </c>
      <c r="Q7" s="7">
        <f t="shared" si="0"/>
        <v>1.0416666666666685E-2</v>
      </c>
      <c r="R7" s="7">
        <f t="shared" si="0"/>
        <v>3.4722222222222654E-3</v>
      </c>
      <c r="S7" s="7">
        <f t="shared" si="0"/>
        <v>0.18402777777777773</v>
      </c>
      <c r="T7" s="7">
        <f>+Tabla538[[#This Row],[ALMUERZO]]-Tabla538[[#This Row],[TERMINO ACT. AM]]</f>
        <v>1.041666666666663E-2</v>
      </c>
      <c r="U7" s="7">
        <f>+Tabla538[[#This Row],[INICIO ACTIVIDADES PM]]-Tabla538[[#This Row],[ALMUERZO]]</f>
        <v>3.4722222222222321E-2</v>
      </c>
      <c r="V7" s="7">
        <f>+Tabla538[[#This Row],[TERMINO ACTIVIDADES PM]]-Tabla538[[#This Row],[INICIO ACTIVIDADES PM]]</f>
        <v>0.25694444444444409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 t="s">
        <v>101</v>
      </c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Tabla538[[#This Row],[Columna1]]</f>
        <v>0</v>
      </c>
      <c r="N9" s="5"/>
      <c r="O9" s="4"/>
      <c r="T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T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T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0"/>
      <c r="K13" s="56"/>
      <c r="M13" s="5"/>
      <c r="N13" s="5"/>
      <c r="O13" s="4"/>
      <c r="T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81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0.4513888888888889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0.38194444444444453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0.44722222222222197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0.43888888888888866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0.44097222222222182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0.43208333333333321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0.4236111111111111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1.0199999999999998</v>
      </c>
      <c r="H23" s="44"/>
      <c r="I23" s="28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77" t="s">
        <v>105</v>
      </c>
      <c r="I27" s="178" t="s">
        <v>103</v>
      </c>
      <c r="T27" s="3"/>
    </row>
    <row r="28" spans="1:20" ht="15.6" customHeight="1" x14ac:dyDescent="0.3">
      <c r="H28" s="177"/>
      <c r="I28" s="179"/>
      <c r="T28" s="3"/>
    </row>
    <row r="29" spans="1:20" ht="15.6" customHeight="1" x14ac:dyDescent="0.3">
      <c r="H29" s="177"/>
      <c r="I29" s="179"/>
      <c r="T29" s="3"/>
    </row>
    <row r="30" spans="1:20" ht="15.6" customHeight="1" x14ac:dyDescent="0.3">
      <c r="H30" s="177"/>
      <c r="I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zoomScale="60" zoomScaleNormal="60" workbookViewId="0">
      <selection activeCell="F5" sqref="F5"/>
    </sheetView>
  </sheetViews>
  <sheetFormatPr baseColWidth="10" defaultRowHeight="15.6" x14ac:dyDescent="0.3"/>
  <cols>
    <col min="1" max="1" width="11.3984375" bestFit="1" customWidth="1"/>
    <col min="11" max="11" width="13.8984375" customWidth="1"/>
    <col min="12" max="12" width="13" customWidth="1"/>
    <col min="13" max="13" width="13.19921875" customWidth="1"/>
    <col min="14" max="14" width="13.3984375" customWidth="1"/>
    <col min="21" max="21" width="12.3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44886</v>
      </c>
      <c r="D3" s="37">
        <v>0.34027777777777773</v>
      </c>
      <c r="E3" s="37">
        <v>0.3611111111111111</v>
      </c>
      <c r="F3" s="37">
        <v>0.37986111111111115</v>
      </c>
      <c r="G3" s="37">
        <v>0.60416666666666663</v>
      </c>
      <c r="H3" s="37">
        <v>0.61111111111111105</v>
      </c>
      <c r="I3" s="37">
        <v>0.63541666666666663</v>
      </c>
      <c r="J3" s="46">
        <v>0.65625</v>
      </c>
      <c r="K3" s="47"/>
      <c r="L3" s="53"/>
      <c r="M3" s="53"/>
      <c r="N3" s="57" t="s">
        <v>15</v>
      </c>
      <c r="O3" s="4">
        <f>Tabla53[[#This Row],[FECHA]]</f>
        <v>44886</v>
      </c>
      <c r="P3" s="7">
        <f>D3</f>
        <v>0.34027777777777773</v>
      </c>
      <c r="Q3" s="7">
        <f>E3-D3</f>
        <v>2.083333333333337E-2</v>
      </c>
      <c r="R3" s="7">
        <f>F3-E3</f>
        <v>1.8750000000000044E-2</v>
      </c>
      <c r="S3" s="7">
        <f>G3-F3</f>
        <v>0.22430555555555548</v>
      </c>
      <c r="T3" s="7">
        <f>+Tabla53[[#This Row],[ALMUERZO]]-Tabla53[[#This Row],[TERMINO ACT. AM]]</f>
        <v>6.9444444444444198E-3</v>
      </c>
      <c r="U3" s="7">
        <f>+Tabla53[[#This Row],[INICIO ACTIVIDADES PM]]-Tabla53[[#This Row],[ALMUERZO]]</f>
        <v>2.430555555555558E-2</v>
      </c>
      <c r="V3" s="7">
        <f>+Tabla53[[#This Row],[TERMINO ACTIVIDADES PM]]-Tabla53[[#This Row],[INICIO ACTIVIDADES PM]]</f>
        <v>2.083333333333337E-2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44887</v>
      </c>
      <c r="D4" s="37">
        <v>0.4201388888888889</v>
      </c>
      <c r="E4" s="37">
        <v>0.4284722222222222</v>
      </c>
      <c r="F4" s="37">
        <v>0.43263888888888885</v>
      </c>
      <c r="G4" s="37">
        <v>0.61111111111111105</v>
      </c>
      <c r="H4" s="37">
        <v>0.61805555555555558</v>
      </c>
      <c r="I4" s="37">
        <v>0.64236111111111105</v>
      </c>
      <c r="J4" s="46">
        <v>0.65972222222222221</v>
      </c>
      <c r="K4" s="47" t="s">
        <v>129</v>
      </c>
      <c r="M4" s="5"/>
      <c r="N4" s="5" t="s">
        <v>16</v>
      </c>
      <c r="O4" s="4">
        <f>Tabla53[[#This Row],[FECHA]]</f>
        <v>44887</v>
      </c>
      <c r="P4" s="7">
        <f>D4</f>
        <v>0.4201388888888889</v>
      </c>
      <c r="Q4" s="7">
        <f t="shared" ref="Q4:S7" si="0">E4-D4</f>
        <v>8.3333333333333037E-3</v>
      </c>
      <c r="R4" s="7">
        <f t="shared" si="0"/>
        <v>4.1666666666666519E-3</v>
      </c>
      <c r="S4" s="7">
        <f t="shared" si="0"/>
        <v>0.1784722222222222</v>
      </c>
      <c r="T4" s="7">
        <f>+Tabla53[[#This Row],[ALMUERZO]]-Tabla53[[#This Row],[TERMINO ACT. AM]]</f>
        <v>6.9444444444445308E-3</v>
      </c>
      <c r="U4" s="7">
        <f>+Tabla53[[#This Row],[INICIO ACTIVIDADES PM]]-Tabla53[[#This Row],[ALMUERZO]]</f>
        <v>2.4305555555555469E-2</v>
      </c>
      <c r="V4" s="7">
        <f>+Tabla53[[#This Row],[TERMINO ACTIVIDADES PM]]-Tabla53[[#This Row],[INICIO ACTIVIDADES PM]]</f>
        <v>1.736111111111116E-2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44888</v>
      </c>
      <c r="D5" s="37">
        <v>0.34375</v>
      </c>
      <c r="E5" s="37">
        <v>0.36458333333333331</v>
      </c>
      <c r="F5" s="37">
        <v>0.38194444444444442</v>
      </c>
      <c r="G5" s="37">
        <v>0.61319444444444449</v>
      </c>
      <c r="H5" s="37">
        <v>0.61805555555555558</v>
      </c>
      <c r="I5" s="37">
        <v>0.64583333333333337</v>
      </c>
      <c r="J5" s="46">
        <v>0.65972222222222221</v>
      </c>
      <c r="K5" s="47"/>
      <c r="M5" s="5"/>
      <c r="N5" s="5" t="s">
        <v>16</v>
      </c>
      <c r="O5" s="4">
        <f>Tabla53[[#This Row],[FECHA]]</f>
        <v>44888</v>
      </c>
      <c r="P5" s="7">
        <f>D5</f>
        <v>0.34375</v>
      </c>
      <c r="Q5" s="7">
        <f t="shared" si="0"/>
        <v>2.0833333333333315E-2</v>
      </c>
      <c r="R5" s="7">
        <f t="shared" si="0"/>
        <v>1.7361111111111105E-2</v>
      </c>
      <c r="S5" s="7">
        <f t="shared" si="0"/>
        <v>0.23125000000000007</v>
      </c>
      <c r="T5" s="7">
        <f>+Tabla53[[#This Row],[ALMUERZO]]-Tabla53[[#This Row],[TERMINO ACT. AM]]</f>
        <v>4.8611111111110938E-3</v>
      </c>
      <c r="U5" s="7">
        <f>+Tabla53[[#This Row],[INICIO ACTIVIDADES PM]]-Tabla53[[#This Row],[ALMUERZO]]</f>
        <v>2.777777777777779E-2</v>
      </c>
      <c r="V5" s="7">
        <f>+Tabla53[[#This Row],[TERMINO ACTIVIDADES PM]]-Tabla53[[#This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44889</v>
      </c>
      <c r="D6" s="37">
        <v>0.34027777777777773</v>
      </c>
      <c r="E6" s="37">
        <v>0.3611111111111111</v>
      </c>
      <c r="F6" s="37">
        <v>0.37708333333333338</v>
      </c>
      <c r="G6" s="37">
        <v>0.61111111111111105</v>
      </c>
      <c r="H6" s="37">
        <v>0.61805555555555558</v>
      </c>
      <c r="I6" s="37">
        <v>0.64583333333333337</v>
      </c>
      <c r="J6" s="46">
        <v>0.65972222222222221</v>
      </c>
      <c r="K6" s="47"/>
      <c r="M6" s="5"/>
      <c r="N6" s="5" t="s">
        <v>17</v>
      </c>
      <c r="O6" s="4">
        <f>Tabla53[[#This Row],[FECHA]]</f>
        <v>44889</v>
      </c>
      <c r="P6" s="7">
        <f>D6</f>
        <v>0.34027777777777773</v>
      </c>
      <c r="Q6" s="7">
        <f t="shared" si="0"/>
        <v>2.083333333333337E-2</v>
      </c>
      <c r="R6" s="7">
        <f t="shared" si="0"/>
        <v>1.5972222222222276E-2</v>
      </c>
      <c r="S6" s="7">
        <f t="shared" si="0"/>
        <v>0.23402777777777767</v>
      </c>
      <c r="T6" s="7">
        <f>+Tabla53[[#This Row],[ALMUERZO]]-Tabla53[[#This Row],[TERMINO ACT. AM]]</f>
        <v>6.9444444444445308E-3</v>
      </c>
      <c r="U6" s="7">
        <f>+Tabla53[[#This Row],[INICIO ACTIVIDADES PM]]-Tabla53[[#This Row],[ALMUERZO]]</f>
        <v>2.777777777777779E-2</v>
      </c>
      <c r="V6" s="7">
        <f>+Tabla53[[#This Row],[TERMINO ACTIVIDADES PM]]-Tabla53[[#This Row],[INICIO ACTIVIDADES PM]]</f>
        <v>1.388888888888884E-2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44890</v>
      </c>
      <c r="D7" s="37">
        <v>0.34027777777777773</v>
      </c>
      <c r="E7" s="37">
        <v>0.36805555555555558</v>
      </c>
      <c r="F7" s="37">
        <v>0.38125000000000003</v>
      </c>
      <c r="G7" s="37">
        <v>0.61249999999999993</v>
      </c>
      <c r="H7" s="37">
        <v>0.62152777777777779</v>
      </c>
      <c r="I7" s="37">
        <v>0.64583333333333337</v>
      </c>
      <c r="J7" s="46">
        <v>0.65972222222222221</v>
      </c>
      <c r="K7" s="47"/>
      <c r="M7" s="5"/>
      <c r="N7" s="5" t="s">
        <v>18</v>
      </c>
      <c r="O7" s="4">
        <f>Tabla53[[#This Row],[FECHA]]</f>
        <v>44890</v>
      </c>
      <c r="P7" s="7">
        <f>D7</f>
        <v>0.34027777777777773</v>
      </c>
      <c r="Q7" s="7">
        <f t="shared" si="0"/>
        <v>2.7777777777777846E-2</v>
      </c>
      <c r="R7" s="7">
        <f t="shared" si="0"/>
        <v>1.3194444444444453E-2</v>
      </c>
      <c r="S7" s="7">
        <f t="shared" si="0"/>
        <v>0.2312499999999999</v>
      </c>
      <c r="T7" s="7">
        <f>+Tabla53[[#This Row],[ALMUERZO]]-Tabla53[[#This Row],[TERMINO ACT. AM]]</f>
        <v>9.0277777777778567E-3</v>
      </c>
      <c r="U7" s="7">
        <f>+Tabla53[[#This Row],[INICIO ACTIVIDADES PM]]-Tabla53[[#This Row],[ALMUERZO]]</f>
        <v>2.430555555555558E-2</v>
      </c>
      <c r="V7" s="7">
        <f>+Tabla53[[#This Row],[TERMINO ACTIVIDADES PM]]-Tabla53[[#This Row],[INICIO ACTIVIDADES PM]]</f>
        <v>1.388888888888884E-2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11"/>
      <c r="D8" s="11"/>
      <c r="E8" s="11"/>
      <c r="F8" s="11"/>
      <c r="G8" s="11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/>
      <c r="N9" s="5"/>
      <c r="O9" s="4"/>
      <c r="T9" s="3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T10" s="3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T12" s="3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0.24513888888888885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0.19583333333333336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0.24513888888888891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0.24791666666666651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0.24513888888888874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0.23583333333333328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0.94333333333333313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J27" s="177" t="s">
        <v>105</v>
      </c>
      <c r="K27" s="178" t="s">
        <v>103</v>
      </c>
      <c r="T27" s="3"/>
    </row>
    <row r="28" spans="1:20" ht="15.6" customHeight="1" x14ac:dyDescent="0.3">
      <c r="J28" s="177"/>
      <c r="K28" s="179"/>
      <c r="T28" s="3"/>
    </row>
    <row r="29" spans="1:20" ht="15.6" customHeight="1" x14ac:dyDescent="0.3">
      <c r="J29" s="177"/>
      <c r="K29" s="179"/>
      <c r="T29" s="3"/>
    </row>
    <row r="30" spans="1:20" ht="15.6" customHeight="1" x14ac:dyDescent="0.3">
      <c r="J30" s="177"/>
      <c r="K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="60" zoomScaleNormal="60" workbookViewId="0">
      <selection activeCell="F8" sqref="F8"/>
    </sheetView>
  </sheetViews>
  <sheetFormatPr baseColWidth="10" defaultRowHeight="15.6" x14ac:dyDescent="0.3"/>
  <cols>
    <col min="1" max="1" width="11.8984375" customWidth="1"/>
    <col min="2" max="2" width="13.3984375" customWidth="1"/>
    <col min="6" max="6" width="15.5" customWidth="1"/>
    <col min="7" max="7" width="12.5" customWidth="1"/>
    <col min="11" max="11" width="17.296875" bestFit="1" customWidth="1"/>
    <col min="18" max="18" width="13.8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44886</v>
      </c>
      <c r="D3" s="37">
        <v>0.64583333333333337</v>
      </c>
      <c r="E3" s="37">
        <v>0.68055555555555547</v>
      </c>
      <c r="F3" s="37">
        <v>0.70138888888888884</v>
      </c>
      <c r="G3" s="37">
        <v>0.88888888888888884</v>
      </c>
      <c r="H3" s="37">
        <v>0.89930555555555547</v>
      </c>
      <c r="I3" s="37">
        <v>0.93055555555555547</v>
      </c>
      <c r="J3" s="46">
        <v>0.97916666666666663</v>
      </c>
      <c r="K3" s="81" t="s">
        <v>94</v>
      </c>
      <c r="L3" s="53"/>
      <c r="M3" s="53"/>
      <c r="N3" s="57" t="s">
        <v>15</v>
      </c>
      <c r="O3" s="4">
        <f>Tabla53839[[#This Row],[FECHA]]</f>
        <v>44886</v>
      </c>
      <c r="P3" s="7">
        <f>D3</f>
        <v>0.64583333333333337</v>
      </c>
      <c r="Q3" s="7">
        <f>E3-D3</f>
        <v>3.4722222222222099E-2</v>
      </c>
      <c r="R3" s="7">
        <f>F3-E3</f>
        <v>2.083333333333337E-2</v>
      </c>
      <c r="S3" s="7">
        <f>G3-F3</f>
        <v>0.1875</v>
      </c>
      <c r="T3" s="7">
        <f>+Tabla53839[[#This Row],[ALMUERZO]]-Tabla53839[[#This Row],[TERMINO ACT. AM]]</f>
        <v>1.041666666666663E-2</v>
      </c>
      <c r="U3" s="7">
        <f>+Tabla53839[[#This Row],[INICIO ACTIVIDADES PM]]-Tabla53839[[#This Row],[ALMUERZO]]</f>
        <v>3.125E-2</v>
      </c>
      <c r="V3" s="7">
        <f>+Tabla53839[[#This Row],[TERMINO ACTIVIDADES PM]]-Tabla53839[[#This Row],[INICIO ACTIVIDADES PM]]</f>
        <v>4.861111111111116E-2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44887</v>
      </c>
      <c r="D4" s="37">
        <v>0.64583333333333337</v>
      </c>
      <c r="E4" s="37">
        <v>0.6875</v>
      </c>
      <c r="F4" s="37">
        <v>0.69791666666666663</v>
      </c>
      <c r="G4" s="37">
        <v>0.88194444444444453</v>
      </c>
      <c r="H4" s="37">
        <v>0.89444444444444438</v>
      </c>
      <c r="I4" s="37">
        <v>0.91666666666666663</v>
      </c>
      <c r="J4" s="46">
        <v>0.97916666666666663</v>
      </c>
      <c r="K4" s="81" t="s">
        <v>94</v>
      </c>
      <c r="M4" s="5"/>
      <c r="N4" s="5" t="s">
        <v>16</v>
      </c>
      <c r="O4" s="4">
        <f>Tabla53839[[#This Row],[FECHA]]</f>
        <v>44887</v>
      </c>
      <c r="P4" s="7">
        <f>D4</f>
        <v>0.64583333333333337</v>
      </c>
      <c r="Q4" s="7">
        <f t="shared" ref="Q4:S7" si="0">E4-D4</f>
        <v>4.166666666666663E-2</v>
      </c>
      <c r="R4" s="7">
        <f t="shared" si="0"/>
        <v>1.041666666666663E-2</v>
      </c>
      <c r="S4" s="7">
        <f t="shared" si="0"/>
        <v>0.1840277777777779</v>
      </c>
      <c r="T4" s="7">
        <f>+Tabla53839[[#This Row],[ALMUERZO]]-Tabla53839[[#This Row],[TERMINO ACT. AM]]</f>
        <v>1.2499999999999845E-2</v>
      </c>
      <c r="U4" s="7">
        <f>+Tabla53839[[#This Row],[INICIO ACTIVIDADES PM]]-Tabla53839[[#This Row],[ALMUERZO]]</f>
        <v>2.2222222222222254E-2</v>
      </c>
      <c r="V4" s="7">
        <f>+Tabla53839[[#This Row],[TERMINO ACTIVIDADES PM]]-Tabla53839[[#This Row],[INICIO ACTIVIDADES PM]]</f>
        <v>6.25E-2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44888</v>
      </c>
      <c r="D5" s="37">
        <v>0.64583333333333337</v>
      </c>
      <c r="E5" s="37">
        <v>0.68055555555555547</v>
      </c>
      <c r="F5" s="37">
        <v>0.69097222222222221</v>
      </c>
      <c r="G5" s="37">
        <v>0.90277777777777779</v>
      </c>
      <c r="H5" s="37">
        <v>0.91319444444444453</v>
      </c>
      <c r="I5" s="37">
        <v>0.94444444444444453</v>
      </c>
      <c r="J5" s="46">
        <v>0.97916666666666663</v>
      </c>
      <c r="K5" s="81" t="s">
        <v>94</v>
      </c>
      <c r="M5" s="5"/>
      <c r="N5" s="5" t="s">
        <v>16</v>
      </c>
      <c r="O5" s="4">
        <f>Tabla53839[[#This Row],[FECHA]]</f>
        <v>44888</v>
      </c>
      <c r="P5" s="7">
        <f>D5</f>
        <v>0.64583333333333337</v>
      </c>
      <c r="Q5" s="7">
        <f t="shared" si="0"/>
        <v>3.4722222222222099E-2</v>
      </c>
      <c r="R5" s="7">
        <f t="shared" si="0"/>
        <v>1.0416666666666741E-2</v>
      </c>
      <c r="S5" s="7">
        <f t="shared" si="0"/>
        <v>0.21180555555555558</v>
      </c>
      <c r="T5" s="7">
        <f>+Tabla53839[[#This Row],[ALMUERZO]]-Tabla53839[[#This Row],[TERMINO ACT. AM]]</f>
        <v>1.0416666666666741E-2</v>
      </c>
      <c r="U5" s="7">
        <f>+Tabla53839[[#This Row],[INICIO ACTIVIDADES PM]]-Tabla53839[[#This Row],[ALMUERZO]]</f>
        <v>3.125E-2</v>
      </c>
      <c r="V5" s="7">
        <f>+Tabla53839[[#This Row],[TERMINO ACTIVIDADES PM]]-Tabla53839[[#This Row],[INICIO ACTIVIDADES PM]]</f>
        <v>3.4722222222222099E-2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44889</v>
      </c>
      <c r="D6" s="37">
        <v>0.64583333333333337</v>
      </c>
      <c r="E6" s="37">
        <v>0.68402777777777779</v>
      </c>
      <c r="F6" s="37">
        <v>0.6875</v>
      </c>
      <c r="G6" s="37">
        <v>0.86111111111111116</v>
      </c>
      <c r="H6" s="37">
        <v>0.87152777777777779</v>
      </c>
      <c r="I6" s="37">
        <v>0.90277777777777779</v>
      </c>
      <c r="J6" s="46">
        <v>0.97916666666666663</v>
      </c>
      <c r="K6" s="81" t="s">
        <v>94</v>
      </c>
      <c r="M6" s="5"/>
      <c r="N6" s="5" t="s">
        <v>17</v>
      </c>
      <c r="O6" s="4">
        <f>Tabla53839[[#This Row],[FECHA]]</f>
        <v>44889</v>
      </c>
      <c r="P6" s="7">
        <f>D6</f>
        <v>0.64583333333333337</v>
      </c>
      <c r="Q6" s="7">
        <f t="shared" si="0"/>
        <v>3.819444444444442E-2</v>
      </c>
      <c r="R6" s="7">
        <f t="shared" si="0"/>
        <v>3.4722222222222099E-3</v>
      </c>
      <c r="S6" s="7">
        <f t="shared" si="0"/>
        <v>0.17361111111111116</v>
      </c>
      <c r="T6" s="7">
        <f>+Tabla53839[[#This Row],[ALMUERZO]]-Tabla53839[[#This Row],[TERMINO ACT. AM]]</f>
        <v>1.041666666666663E-2</v>
      </c>
      <c r="U6" s="7">
        <f>+Tabla53839[[#This Row],[INICIO ACTIVIDADES PM]]-Tabla53839[[#This Row],[ALMUERZO]]</f>
        <v>3.125E-2</v>
      </c>
      <c r="V6" s="7">
        <f>+Tabla53839[[#This Row],[TERMINO ACTIVIDADES PM]]-Tabla53839[[#This Row],[INICIO ACTIVIDADES PM]]</f>
        <v>7.638888888888884E-2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44890</v>
      </c>
      <c r="D7" s="37">
        <v>0.64583333333333337</v>
      </c>
      <c r="E7" s="37">
        <v>0.67361111111111116</v>
      </c>
      <c r="F7" s="37">
        <v>0.69097222222222221</v>
      </c>
      <c r="G7" s="37">
        <v>0.88194444444444453</v>
      </c>
      <c r="H7" s="37">
        <v>0.89236111111111116</v>
      </c>
      <c r="I7" s="37">
        <v>0.91319444444444453</v>
      </c>
      <c r="J7" s="46">
        <v>0.97916666666666663</v>
      </c>
      <c r="K7" s="81" t="s">
        <v>94</v>
      </c>
      <c r="M7" s="5"/>
      <c r="N7" s="5" t="s">
        <v>18</v>
      </c>
      <c r="O7" s="4">
        <f>Tabla53839[[#This Row],[FECHA]]</f>
        <v>44890</v>
      </c>
      <c r="P7" s="7">
        <f>D7</f>
        <v>0.64583333333333337</v>
      </c>
      <c r="Q7" s="7">
        <f t="shared" si="0"/>
        <v>2.777777777777779E-2</v>
      </c>
      <c r="R7" s="7">
        <f t="shared" si="0"/>
        <v>1.7361111111111049E-2</v>
      </c>
      <c r="S7" s="7">
        <f t="shared" si="0"/>
        <v>0.19097222222222232</v>
      </c>
      <c r="T7" s="7">
        <f>+Tabla53839[[#This Row],[ALMUERZO]]-Tabla53839[[#This Row],[TERMINO ACT. AM]]</f>
        <v>1.041666666666663E-2</v>
      </c>
      <c r="U7" s="7">
        <f>+Tabla53839[[#This Row],[INICIO ACTIVIDADES PM]]-Tabla53839[[#This Row],[ALMUERZO]]</f>
        <v>2.083333333333337E-2</v>
      </c>
      <c r="V7" s="7">
        <f>+Tabla53839[[#This Row],[TERMINO ACTIVIDADES PM]]-Tabla53839[[#This Row],[INICIO ACTIVIDADES PM]]</f>
        <v>6.5972222222222099E-2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Tabla53839[[#This Row],[Columna1]]</f>
        <v>0</v>
      </c>
      <c r="N9" s="5"/>
      <c r="O9" s="4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82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0.23611111111111116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0.2465277777777779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0.24652777777777768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0.25694444444444442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0.24722222222222223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0.98888888888888893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77" t="s">
        <v>105</v>
      </c>
      <c r="I27" s="178" t="s">
        <v>104</v>
      </c>
      <c r="T27" s="3"/>
    </row>
    <row r="28" spans="1:20" ht="15.6" customHeight="1" x14ac:dyDescent="0.3">
      <c r="H28" s="177"/>
      <c r="I28" s="179"/>
      <c r="T28" s="3"/>
    </row>
    <row r="29" spans="1:20" ht="15.6" customHeight="1" x14ac:dyDescent="0.3">
      <c r="H29" s="177"/>
      <c r="I29" s="179"/>
      <c r="T29" s="3"/>
    </row>
    <row r="30" spans="1:20" ht="15.6" customHeight="1" x14ac:dyDescent="0.3">
      <c r="H30" s="177"/>
      <c r="I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F5" sqref="F5"/>
    </sheetView>
  </sheetViews>
  <sheetFormatPr baseColWidth="10" defaultRowHeight="15.6" x14ac:dyDescent="0.3"/>
  <cols>
    <col min="5" max="5" width="12.8984375" customWidth="1"/>
    <col min="6" max="6" width="16.3984375" customWidth="1"/>
    <col min="7" max="7" width="16.69921875" customWidth="1"/>
    <col min="11" max="11" width="17.296875" bestFit="1" customWidth="1"/>
  </cols>
  <sheetData>
    <row r="1" spans="1:29" x14ac:dyDescent="0.3">
      <c r="C1" s="31" t="s">
        <v>0</v>
      </c>
      <c r="D1" s="32">
        <v>0.3125</v>
      </c>
      <c r="E1" s="32">
        <v>0.35416666666666669</v>
      </c>
      <c r="F1" s="32">
        <v>0.36458333333333331</v>
      </c>
      <c r="G1" s="32">
        <v>0.58333333333333337</v>
      </c>
      <c r="H1" s="32">
        <v>0.61111111111111105</v>
      </c>
      <c r="I1" s="32">
        <v>0.61805555555555558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44886</v>
      </c>
      <c r="D3" s="37">
        <v>0.3125</v>
      </c>
      <c r="E3" s="37">
        <v>0.33333333333333331</v>
      </c>
      <c r="F3" s="37">
        <v>0.36458333333333331</v>
      </c>
      <c r="G3" s="37">
        <v>0.56111111111111112</v>
      </c>
      <c r="H3" s="37">
        <v>0.57291666666666663</v>
      </c>
      <c r="I3" s="37">
        <v>0.60069444444444442</v>
      </c>
      <c r="J3" s="46">
        <v>0.65277777777777779</v>
      </c>
      <c r="K3" s="47"/>
      <c r="L3" s="53"/>
      <c r="M3" s="53"/>
      <c r="N3" s="57" t="s">
        <v>15</v>
      </c>
      <c r="O3" s="4">
        <f>Tabla5383940[[#This Row],[FECHA]]</f>
        <v>44886</v>
      </c>
      <c r="P3" s="7">
        <f>D3</f>
        <v>0.3125</v>
      </c>
      <c r="Q3" s="7">
        <f>E3-D3</f>
        <v>2.0833333333333315E-2</v>
      </c>
      <c r="R3" s="7">
        <f>F3-E3</f>
        <v>3.125E-2</v>
      </c>
      <c r="S3" s="7">
        <f>G3-F3</f>
        <v>0.1965277777777778</v>
      </c>
      <c r="T3" s="7">
        <f>+Tabla5383940[[#This Row],[ALMUERZO]]-Tabla5383940[[#This Row],[TERMINO ACT. AM]]</f>
        <v>1.1805555555555514E-2</v>
      </c>
      <c r="U3" s="7">
        <f>+Tabla5383940[[#This Row],[INICIO ACTIVIDADES PM]]-Tabla5383940[[#This Row],[ALMUERZO]]</f>
        <v>2.777777777777779E-2</v>
      </c>
      <c r="V3" s="7">
        <f>+Tabla5383940[[#This Row],[TERMINO ACTIVIDADES PM]]-Tabla5383940[[#This Row],[INICIO ACTIVIDADES PM]]</f>
        <v>5.208333333333337E-2</v>
      </c>
      <c r="W3" s="3">
        <f>+$D$1</f>
        <v>0.3125</v>
      </c>
      <c r="X3" s="3">
        <f>+$E$1</f>
        <v>0.35416666666666669</v>
      </c>
      <c r="Y3" s="3">
        <f>+$F$1</f>
        <v>0.36458333333333331</v>
      </c>
      <c r="Z3" s="3">
        <f>+$G$1</f>
        <v>0.58333333333333337</v>
      </c>
      <c r="AA3" s="3">
        <f>+$H$1</f>
        <v>0.61111111111111105</v>
      </c>
      <c r="AB3" s="3">
        <f>+$I$1</f>
        <v>0.61805555555555558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44887</v>
      </c>
      <c r="D4" s="37">
        <v>0.39583333333333331</v>
      </c>
      <c r="E4" s="37">
        <v>0.40277777777777773</v>
      </c>
      <c r="F4" s="37">
        <v>0.41111111111111115</v>
      </c>
      <c r="G4" s="37">
        <v>0.60416666666666663</v>
      </c>
      <c r="H4" s="37">
        <v>0.61111111111111105</v>
      </c>
      <c r="I4" s="37">
        <v>0.63541666666666663</v>
      </c>
      <c r="J4" s="46">
        <v>0.65277777777777779</v>
      </c>
      <c r="K4" s="47" t="s">
        <v>129</v>
      </c>
      <c r="M4" s="5"/>
      <c r="N4" s="5" t="s">
        <v>16</v>
      </c>
      <c r="O4" s="4">
        <f>Tabla5383940[[#This Row],[FECHA]]</f>
        <v>44887</v>
      </c>
      <c r="P4" s="7">
        <f>D4</f>
        <v>0.39583333333333331</v>
      </c>
      <c r="Q4" s="7">
        <f t="shared" ref="Q4:S7" si="0">E4-D4</f>
        <v>6.9444444444444198E-3</v>
      </c>
      <c r="R4" s="7">
        <f t="shared" si="0"/>
        <v>8.3333333333334147E-3</v>
      </c>
      <c r="S4" s="7">
        <f t="shared" si="0"/>
        <v>0.19305555555555548</v>
      </c>
      <c r="T4" s="7">
        <f>+Tabla5383940[[#This Row],[ALMUERZO]]-Tabla5383940[[#This Row],[TERMINO ACT. AM]]</f>
        <v>6.9444444444444198E-3</v>
      </c>
      <c r="U4" s="7">
        <f>+Tabla5383940[[#This Row],[INICIO ACTIVIDADES PM]]-Tabla5383940[[#This Row],[ALMUERZO]]</f>
        <v>2.430555555555558E-2</v>
      </c>
      <c r="V4" s="7">
        <f>+Tabla5383940[[#This Row],[TERMINO ACTIVIDADES PM]]-Tabla5383940[[#This Row],[INICIO ACTIVIDADES PM]]</f>
        <v>1.736111111111116E-2</v>
      </c>
      <c r="W4" s="3">
        <f t="shared" ref="W4:W7" si="1">+$D$1</f>
        <v>0.3125</v>
      </c>
      <c r="X4" s="3">
        <f t="shared" ref="X4:X7" si="2">+$E$1</f>
        <v>0.35416666666666669</v>
      </c>
      <c r="Y4" s="3">
        <f t="shared" ref="Y4:Y7" si="3">+$F$1</f>
        <v>0.36458333333333331</v>
      </c>
      <c r="Z4" s="3">
        <f t="shared" ref="Z4:Z7" si="4">+$G$1</f>
        <v>0.58333333333333337</v>
      </c>
      <c r="AA4" s="3">
        <f t="shared" ref="AA4:AA7" si="5">+$H$1</f>
        <v>0.61111111111111105</v>
      </c>
      <c r="AB4" s="3">
        <f t="shared" ref="AB4:AB7" si="6">+$I$1</f>
        <v>0.61805555555555558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44888</v>
      </c>
      <c r="D5" s="37">
        <v>0.3125</v>
      </c>
      <c r="E5" s="37">
        <v>0.33333333333333331</v>
      </c>
      <c r="F5" s="37">
        <v>0.3576388888888889</v>
      </c>
      <c r="G5" s="37">
        <v>0.5</v>
      </c>
      <c r="H5" s="37">
        <v>0.51041666666666663</v>
      </c>
      <c r="I5" s="37">
        <v>0.54513888888888895</v>
      </c>
      <c r="J5" s="46">
        <v>0.65277777777777779</v>
      </c>
      <c r="K5" s="47"/>
      <c r="M5" s="5"/>
      <c r="N5" s="5" t="s">
        <v>16</v>
      </c>
      <c r="O5" s="4">
        <f>Tabla5383940[[#This Row],[FECHA]]</f>
        <v>44888</v>
      </c>
      <c r="P5" s="7">
        <f>D5</f>
        <v>0.3125</v>
      </c>
      <c r="Q5" s="7">
        <f t="shared" si="0"/>
        <v>2.0833333333333315E-2</v>
      </c>
      <c r="R5" s="7">
        <f t="shared" si="0"/>
        <v>2.430555555555558E-2</v>
      </c>
      <c r="S5" s="7">
        <f t="shared" si="0"/>
        <v>0.1423611111111111</v>
      </c>
      <c r="T5" s="7">
        <f>+Tabla5383940[[#This Row],[ALMUERZO]]-Tabla5383940[[#This Row],[TERMINO ACT. AM]]</f>
        <v>1.041666666666663E-2</v>
      </c>
      <c r="U5" s="7">
        <f>+Tabla5383940[[#This Row],[INICIO ACTIVIDADES PM]]-Tabla5383940[[#This Row],[ALMUERZO]]</f>
        <v>3.4722222222222321E-2</v>
      </c>
      <c r="V5" s="7">
        <f>+Tabla5383940[[#This Row],[TERMINO ACTIVIDADES PM]]-Tabla5383940[[#This Row],[INICIO ACTIVIDADES PM]]</f>
        <v>0.10763888888888884</v>
      </c>
      <c r="W5" s="3">
        <f t="shared" si="1"/>
        <v>0.3125</v>
      </c>
      <c r="X5" s="3">
        <f t="shared" si="2"/>
        <v>0.35416666666666669</v>
      </c>
      <c r="Y5" s="3">
        <f t="shared" si="3"/>
        <v>0.36458333333333331</v>
      </c>
      <c r="Z5" s="3">
        <f t="shared" si="4"/>
        <v>0.58333333333333337</v>
      </c>
      <c r="AA5" s="3">
        <f t="shared" si="5"/>
        <v>0.61111111111111105</v>
      </c>
      <c r="AB5" s="3">
        <f t="shared" si="6"/>
        <v>0.61805555555555558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44889</v>
      </c>
      <c r="D6" s="37">
        <v>0.30902777777777779</v>
      </c>
      <c r="E6" s="37">
        <v>0.33680555555555558</v>
      </c>
      <c r="F6" s="37">
        <v>0.36319444444444443</v>
      </c>
      <c r="G6" s="37">
        <v>0.52430555555555558</v>
      </c>
      <c r="H6" s="37">
        <v>0.53125</v>
      </c>
      <c r="I6" s="37">
        <v>0.55902777777777779</v>
      </c>
      <c r="J6" s="46">
        <v>0.64930555555555558</v>
      </c>
      <c r="K6" s="47"/>
      <c r="M6" s="5"/>
      <c r="N6" s="5" t="s">
        <v>17</v>
      </c>
      <c r="O6" s="4">
        <f>Tabla5383940[[#This Row],[FECHA]]</f>
        <v>44889</v>
      </c>
      <c r="P6" s="7">
        <f>D6</f>
        <v>0.30902777777777779</v>
      </c>
      <c r="Q6" s="7">
        <f t="shared" si="0"/>
        <v>2.777777777777779E-2</v>
      </c>
      <c r="R6" s="7">
        <f t="shared" si="0"/>
        <v>2.6388888888888851E-2</v>
      </c>
      <c r="S6" s="7">
        <f t="shared" si="0"/>
        <v>0.16111111111111115</v>
      </c>
      <c r="T6" s="7">
        <f>+Tabla5383940[[#This Row],[ALMUERZO]]-Tabla5383940[[#This Row],[TERMINO ACT. AM]]</f>
        <v>6.9444444444444198E-3</v>
      </c>
      <c r="U6" s="7">
        <f>+Tabla5383940[[#This Row],[INICIO ACTIVIDADES PM]]-Tabla5383940[[#This Row],[ALMUERZO]]</f>
        <v>2.777777777777779E-2</v>
      </c>
      <c r="V6" s="7">
        <f>+Tabla5383940[[#This Row],[TERMINO ACTIVIDADES PM]]-Tabla5383940[[#This Row],[INICIO ACTIVIDADES PM]]</f>
        <v>9.027777777777779E-2</v>
      </c>
      <c r="W6" s="3">
        <f t="shared" si="1"/>
        <v>0.3125</v>
      </c>
      <c r="X6" s="3">
        <f t="shared" si="2"/>
        <v>0.35416666666666669</v>
      </c>
      <c r="Y6" s="3">
        <f t="shared" si="3"/>
        <v>0.36458333333333331</v>
      </c>
      <c r="Z6" s="3">
        <f t="shared" si="4"/>
        <v>0.58333333333333337</v>
      </c>
      <c r="AA6" s="3">
        <f t="shared" si="5"/>
        <v>0.61111111111111105</v>
      </c>
      <c r="AB6" s="3">
        <f t="shared" si="6"/>
        <v>0.61805555555555558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44890</v>
      </c>
      <c r="D7" s="37">
        <v>0.3125</v>
      </c>
      <c r="E7" s="37">
        <v>0.33333333333333331</v>
      </c>
      <c r="F7" s="37">
        <v>0.3576388888888889</v>
      </c>
      <c r="G7" s="37">
        <v>0.57638888888888895</v>
      </c>
      <c r="H7" s="37">
        <v>0.59027777777777779</v>
      </c>
      <c r="I7" s="37">
        <v>0.61458333333333337</v>
      </c>
      <c r="J7" s="46">
        <v>0.65277777777777779</v>
      </c>
      <c r="K7" s="47"/>
      <c r="M7" s="5"/>
      <c r="N7" s="5" t="s">
        <v>18</v>
      </c>
      <c r="O7" s="4">
        <f>Tabla5383940[[#This Row],[FECHA]]</f>
        <v>44890</v>
      </c>
      <c r="P7" s="7">
        <f>D7</f>
        <v>0.3125</v>
      </c>
      <c r="Q7" s="7">
        <f t="shared" si="0"/>
        <v>2.0833333333333315E-2</v>
      </c>
      <c r="R7" s="7">
        <f t="shared" si="0"/>
        <v>2.430555555555558E-2</v>
      </c>
      <c r="S7" s="7">
        <f t="shared" si="0"/>
        <v>0.21875000000000006</v>
      </c>
      <c r="T7" s="7">
        <f>+Tabla5383940[[#This Row],[ALMUERZO]]-Tabla5383940[[#This Row],[TERMINO ACT. AM]]</f>
        <v>1.388888888888884E-2</v>
      </c>
      <c r="U7" s="7">
        <f>+Tabla5383940[[#This Row],[INICIO ACTIVIDADES PM]]-Tabla5383940[[#This Row],[ALMUERZO]]</f>
        <v>2.430555555555558E-2</v>
      </c>
      <c r="V7" s="7">
        <f>+Tabla5383940[[#This Row],[TERMINO ACTIVIDADES PM]]-Tabla5383940[[#This Row],[INICIO ACTIVIDADES PM]]</f>
        <v>3.819444444444442E-2</v>
      </c>
      <c r="W7" s="3">
        <f t="shared" si="1"/>
        <v>0.3125</v>
      </c>
      <c r="X7" s="3">
        <f t="shared" si="2"/>
        <v>0.35416666666666669</v>
      </c>
      <c r="Y7" s="3">
        <f t="shared" si="3"/>
        <v>0.36458333333333331</v>
      </c>
      <c r="Z7" s="3">
        <f t="shared" si="4"/>
        <v>0.58333333333333337</v>
      </c>
      <c r="AA7" s="3">
        <f t="shared" si="5"/>
        <v>0.61111111111111105</v>
      </c>
      <c r="AB7" s="3">
        <f t="shared" si="6"/>
        <v>0.61805555555555558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Tabla5383940[[#This Row],[Columna1]]</f>
        <v>0</v>
      </c>
      <c r="N9" s="5"/>
      <c r="O9" s="4"/>
      <c r="P9" s="7"/>
      <c r="Q9" s="7"/>
      <c r="R9" s="7"/>
      <c r="S9" s="7"/>
      <c r="T9" s="7"/>
      <c r="U9" s="29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83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0.24861111111111117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0.21041666666666664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0.24999999999999994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0.25138888888888894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0.25694444444444448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0.24347222222222223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0.97388888888888892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7" t="s">
        <v>105</v>
      </c>
      <c r="J27" s="178" t="s">
        <v>103</v>
      </c>
      <c r="T27" s="3"/>
    </row>
    <row r="28" spans="1:20" ht="15.6" customHeight="1" x14ac:dyDescent="0.3">
      <c r="I28" s="177"/>
      <c r="J28" s="179"/>
      <c r="T28" s="3"/>
    </row>
    <row r="29" spans="1:20" ht="15.6" customHeight="1" x14ac:dyDescent="0.3">
      <c r="I29" s="177"/>
      <c r="J29" s="179"/>
      <c r="T29" s="3"/>
    </row>
    <row r="30" spans="1:20" ht="15.6" customHeight="1" x14ac:dyDescent="0.3">
      <c r="I30" s="177"/>
      <c r="J30" s="180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5</vt:lpstr>
      <vt:lpstr>SUB 6</vt:lpstr>
      <vt:lpstr>PIPA N</vt:lpstr>
      <vt:lpstr>DIABLO</vt:lpstr>
      <vt:lpstr>ACCU</vt:lpstr>
      <vt:lpstr>Salvataje</vt:lpstr>
      <vt:lpstr>Vent </vt:lpstr>
      <vt:lpstr>P M</vt:lpstr>
      <vt:lpstr>AC</vt:lpstr>
      <vt:lpstr>Colec</vt:lpstr>
      <vt:lpstr>LA JUNTA</vt:lpstr>
      <vt:lpstr>TTE 7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usuario</cp:lastModifiedBy>
  <cp:lastPrinted>2019-05-16T16:03:05Z</cp:lastPrinted>
  <dcterms:created xsi:type="dcterms:W3CDTF">2019-05-14T14:59:48Z</dcterms:created>
  <dcterms:modified xsi:type="dcterms:W3CDTF">2022-11-29T14:18:58Z</dcterms:modified>
</cp:coreProperties>
</file>