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E69B8B17-3095-457E-A11D-97F3A97435D4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La junta" sheetId="39" r:id="rId10"/>
    <sheet name="AC" sheetId="37" r:id="rId11"/>
    <sheet name="Colec" sheetId="38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X60" i="47" s="1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<sst xmlns="http://schemas.openxmlformats.org/spreadsheetml/2006/main" count="1120" uniqueCount="131">
  <si>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</si>
  <si>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</si>
  <si>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</si>
  <si>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</si>
  <si>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</si>
  <si>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</si>
  <si>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</si>
  <si>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</si>
  <si>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</si>
  <si>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</si>
  <si>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</si>
  <si>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</si>
  <si>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</si>
  <si>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</si>
  <si>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</si>
  <si>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</si>
  <si>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</si>
  <si>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</si>
  <si>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</si>
  <si>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</si>
  <si>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</si>
  <si>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</si>
  <si>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</si>
  <si>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</si>
  <si>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</si>
  <si>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</si>
  <si>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</si>
  <si>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</si>
  <si>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</si>
  <si>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</si>
  <si>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</si>
  <si>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</si>
  <si>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</si>
  <si>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</si>
  <si>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</si>
  <si>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</si>
  <si>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</si>
  <si>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</si>
  <si>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</si>
  <si>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</si>
  <si>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</si>
  <si>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</si>
  <si>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</si>
  <si>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</si>
  <si>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</si>
  <si>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</si>
  <si>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</si>
  <si>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</si>
  <si>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</si>
  <si>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</si>
  <si>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</si>
  <si>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</si>
  <si>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</si>
  <si>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</si>
  <si>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</si>
  <si>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</si>
  <si>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</si>
  <si>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</si>
  <si>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</si>
  <si>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</si>
  <si>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</si>
  <si>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</si>
  <si>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</si>
  <si>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</si>
  <si>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</si>
  <si>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</si>
  <si>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</si>
  <si>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</si>
  <si>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</si>
  <si>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</si>
  <si>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</si>
  <si>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</si>
  <si>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</si>
  <si>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</si>
  <si>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</si>
  <si>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</si>
  <si>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</si>
  <si>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</si>
  <si>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</si>
  <si>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</si>
  <si>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</si>
  <si>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</si>
  <si>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</si>
  <si>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</si>
  <si>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</si>
  <si>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</si>
  <si>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</si>
  <si>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</si>
  <si>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</si>
  <si>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</si>
  <si>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</si>
  <si>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</si>
  <si>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</si>
  <si>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</si>
  <si>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</si>
  <si>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</si>
  <si>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</si>
  <si>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</si>
  <si>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</si>
  <si>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</si>
  <si>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</si>
  <si>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</si>
  <si>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</si>
  <si>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</si>
  <si>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</si>
  <si>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</si>
  <si>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</si>
  <si>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</si>
  <si>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</si>
  <si>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</si>
  <si>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</si>
  <si>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</si>
  <si>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</si>
  <si>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</si>
  <si>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</si>
  <si>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</si>
  <si>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</si>
  <si>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</si>
  <si>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</si>
  <si>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</si>
  <si>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</si>
  <si>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</si>
  <si>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</si>
  <si>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</si>
  <si>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</si>
  <si>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</si>
  <si>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</si>
  <si>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</si>
  <si>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</si>
  <si>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%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</si>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</sst>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01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20" fontId="9" fillId="0" borderId="0" xfId="0" applyNumberFormat="1" applyFont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0.33333333333333331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0</c:v>
                </c:pt>
                <c:pt idx="1">
                  <c:v>2.4305555555555525E-2</c:v>
                </c:pt>
                <c:pt idx="2">
                  <c:v>2.7083333333333293E-2</c:v>
                </c:pt>
                <c:pt idx="3">
                  <c:v>3.1944444444444497E-2</c:v>
                </c:pt>
                <c:pt idx="4">
                  <c:v>2.5694444444444409E-2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0</c:v>
                </c:pt>
                <c:pt idx="1">
                  <c:v>6.9444444444444753E-3</c:v>
                </c:pt>
                <c:pt idx="2">
                  <c:v>7.6388888888888618E-3</c:v>
                </c:pt>
                <c:pt idx="3">
                  <c:v>1.1805555555555569E-2</c:v>
                </c:pt>
                <c:pt idx="4">
                  <c:v>2.1527777777777812E-2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</c:v>
                </c:pt>
                <c:pt idx="1">
                  <c:v>0.24722222222222223</c:v>
                </c:pt>
                <c:pt idx="2">
                  <c:v>0.23958333333333331</c:v>
                </c:pt>
                <c:pt idx="3">
                  <c:v>0.23472222222222222</c:v>
                </c:pt>
                <c:pt idx="4">
                  <c:v>0.22361111111111115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0</c:v>
                </c:pt>
                <c:pt idx="1">
                  <c:v>6.2499999999999778E-3</c:v>
                </c:pt>
                <c:pt idx="2">
                  <c:v>1.0416666666666741E-2</c:v>
                </c:pt>
                <c:pt idx="3">
                  <c:v>6.2499999999999778E-3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0</c:v>
                </c:pt>
                <c:pt idx="1">
                  <c:v>2.0833333333333259E-2</c:v>
                </c:pt>
                <c:pt idx="2">
                  <c:v>2.430555555555558E-2</c:v>
                </c:pt>
                <c:pt idx="3">
                  <c:v>2.4305555555555469E-2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0</c:v>
                </c:pt>
                <c:pt idx="1">
                  <c:v>1.3888888888888951E-2</c:v>
                </c:pt>
                <c:pt idx="2">
                  <c:v>1.3888888888888618E-2</c:v>
                </c:pt>
                <c:pt idx="3">
                  <c:v>1.736111111111116E-2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</c:v>
                </c:pt>
                <c:pt idx="1">
                  <c:v>0.3125</c:v>
                </c:pt>
                <c:pt idx="2">
                  <c:v>0.31458333333333333</c:v>
                </c:pt>
                <c:pt idx="3">
                  <c:v>0.3125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0</c:v>
                </c:pt>
                <c:pt idx="1">
                  <c:v>2.0833333333333315E-2</c:v>
                </c:pt>
                <c:pt idx="2">
                  <c:v>1.5277777777777779E-2</c:v>
                </c:pt>
                <c:pt idx="3">
                  <c:v>1.7361111111111105E-2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0</c:v>
                </c:pt>
                <c:pt idx="1">
                  <c:v>1.0416666666666685E-2</c:v>
                </c:pt>
                <c:pt idx="2">
                  <c:v>1.041666666666663E-2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</c:v>
                </c:pt>
                <c:pt idx="1">
                  <c:v>0.17708333333333337</c:v>
                </c:pt>
                <c:pt idx="2">
                  <c:v>0.18055555555555564</c:v>
                </c:pt>
                <c:pt idx="3">
                  <c:v>0.18055555555555564</c:v>
                </c:pt>
                <c:pt idx="4">
                  <c:v>0.18055555555555564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0</c:v>
                </c:pt>
                <c:pt idx="1">
                  <c:v>4.8611111111110938E-3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0</c:v>
                </c:pt>
                <c:pt idx="1">
                  <c:v>2.6388888888888906E-2</c:v>
                </c:pt>
                <c:pt idx="2">
                  <c:v>2.2222222222222143E-2</c:v>
                </c:pt>
                <c:pt idx="3">
                  <c:v>2.5694444444444464E-2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</c:v>
                </c:pt>
                <c:pt idx="1">
                  <c:v>0.10763888888888884</c:v>
                </c:pt>
                <c:pt idx="2">
                  <c:v>0.10972222222222228</c:v>
                </c:pt>
                <c:pt idx="3">
                  <c:v>0.10624999999999996</c:v>
                </c:pt>
                <c:pt idx="4">
                  <c:v>0.10763888888888884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</c:v>
                </c:pt>
                <c:pt idx="1">
                  <c:v>0.30902777777777779</c:v>
                </c:pt>
                <c:pt idx="2">
                  <c:v>0.3125</c:v>
                </c:pt>
                <c:pt idx="3">
                  <c:v>0.3125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0</c:v>
                </c:pt>
                <c:pt idx="1">
                  <c:v>2.4305555555555525E-2</c:v>
                </c:pt>
                <c:pt idx="2">
                  <c:v>1.3888888888888895E-2</c:v>
                </c:pt>
                <c:pt idx="3">
                  <c:v>2.7777777777777735E-2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2.4305555555555525E-2</c:v>
                </c:pt>
                <c:pt idx="3">
                  <c:v>2.083333333333337E-2</c:v>
                </c:pt>
                <c:pt idx="4">
                  <c:v>3.2638888888888884E-2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</c:v>
                </c:pt>
                <c:pt idx="1">
                  <c:v>0.1701388888888889</c:v>
                </c:pt>
                <c:pt idx="2">
                  <c:v>0.16875000000000007</c:v>
                </c:pt>
                <c:pt idx="3">
                  <c:v>0.22222222222222227</c:v>
                </c:pt>
                <c:pt idx="4">
                  <c:v>0.15138888888888891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0</c:v>
                </c:pt>
                <c:pt idx="1">
                  <c:v>1.388888888888884E-2</c:v>
                </c:pt>
                <c:pt idx="2">
                  <c:v>1.1805555555555514E-2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0</c:v>
                </c:pt>
                <c:pt idx="1">
                  <c:v>2.777777777777779E-2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</c:v>
                </c:pt>
                <c:pt idx="1">
                  <c:v>8.333333333333337E-2</c:v>
                </c:pt>
                <c:pt idx="2">
                  <c:v>0.10416666666666663</c:v>
                </c:pt>
                <c:pt idx="3">
                  <c:v>4.166666666666663E-2</c:v>
                </c:pt>
                <c:pt idx="4">
                  <c:v>0.10069444444444442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0</c:v>
                </c:pt>
                <c:pt idx="1">
                  <c:v>2.777777777777779E-2</c:v>
                </c:pt>
                <c:pt idx="2">
                  <c:v>2.4305555555555469E-2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0</c:v>
                </c:pt>
                <c:pt idx="1">
                  <c:v>2.7777777777777679E-2</c:v>
                </c:pt>
                <c:pt idx="2">
                  <c:v>1.3888888888888951E-2</c:v>
                </c:pt>
                <c:pt idx="3">
                  <c:v>1.7361111111111049E-2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</c:v>
                </c:pt>
                <c:pt idx="1">
                  <c:v>0.13194444444444453</c:v>
                </c:pt>
                <c:pt idx="2">
                  <c:v>0.12847222222222221</c:v>
                </c:pt>
                <c:pt idx="3">
                  <c:v>0.1875</c:v>
                </c:pt>
                <c:pt idx="4">
                  <c:v>0.14236111111111116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0</c:v>
                </c:pt>
                <c:pt idx="1">
                  <c:v>8.3333333333333037E-3</c:v>
                </c:pt>
                <c:pt idx="2">
                  <c:v>1.041666666666663E-2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0</c:v>
                </c:pt>
                <c:pt idx="1">
                  <c:v>2.6388888888888795E-2</c:v>
                </c:pt>
                <c:pt idx="2">
                  <c:v>2.430555555555558E-2</c:v>
                </c:pt>
                <c:pt idx="3">
                  <c:v>2.6388888888888906E-2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</c:v>
                </c:pt>
                <c:pt idx="1">
                  <c:v>0.11805555555555569</c:v>
                </c:pt>
                <c:pt idx="2">
                  <c:v>0.13888888888888895</c:v>
                </c:pt>
                <c:pt idx="3">
                  <c:v>7.0833333333333415E-2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0</c:v>
                </c:pt>
                <c:pt idx="1">
                  <c:v>3.125E-2</c:v>
                </c:pt>
                <c:pt idx="2">
                  <c:v>1.388888888888884E-2</c:v>
                </c:pt>
                <c:pt idx="3">
                  <c:v>2.7777777777777735E-2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0</c:v>
                </c:pt>
                <c:pt idx="1">
                  <c:v>1.388888888888884E-2</c:v>
                </c:pt>
                <c:pt idx="2">
                  <c:v>2.0833333333333315E-2</c:v>
                </c:pt>
                <c:pt idx="3">
                  <c:v>1.5972222222222221E-2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</c:v>
                </c:pt>
                <c:pt idx="1">
                  <c:v>0.21875</c:v>
                </c:pt>
                <c:pt idx="2">
                  <c:v>0.2326388888888889</c:v>
                </c:pt>
                <c:pt idx="3">
                  <c:v>0.23055555555555551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0</c:v>
                </c:pt>
                <c:pt idx="1">
                  <c:v>1.041666666666663E-2</c:v>
                </c:pt>
                <c:pt idx="2">
                  <c:v>1.0416666666666741E-2</c:v>
                </c:pt>
                <c:pt idx="3">
                  <c:v>1.3888888888888951E-2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2.0833333333333259E-2</c:v>
                </c:pt>
                <c:pt idx="3">
                  <c:v>2.083333333333337E-2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1.388888888888884E-2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0.30902777777777779</c:v>
                </c:pt>
                <c:pt idx="4">
                  <c:v>0.31111111111111112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0</c:v>
                </c:pt>
                <c:pt idx="1">
                  <c:v>1.7361111111111105E-2</c:v>
                </c:pt>
                <c:pt idx="2">
                  <c:v>2.083333333333337E-2</c:v>
                </c:pt>
                <c:pt idx="3">
                  <c:v>1.7361111111111105E-2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2.4305555555555525E-2</c:v>
                </c:pt>
                <c:pt idx="3">
                  <c:v>2.6388888888888906E-2</c:v>
                </c:pt>
                <c:pt idx="4">
                  <c:v>2.7083333333333293E-2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</c:v>
                </c:pt>
                <c:pt idx="1">
                  <c:v>0.24305555555555552</c:v>
                </c:pt>
                <c:pt idx="2">
                  <c:v>0.16319444444444448</c:v>
                </c:pt>
                <c:pt idx="3">
                  <c:v>0.21319444444444441</c:v>
                </c:pt>
                <c:pt idx="4">
                  <c:v>0.19444444444444453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0</c:v>
                </c:pt>
                <c:pt idx="1">
                  <c:v>6.9444444444444198E-3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1.1805555555555514E-2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0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9.375E-2</c:v>
                </c:pt>
                <c:pt idx="3">
                  <c:v>5.555555555555558E-2</c:v>
                </c:pt>
                <c:pt idx="4">
                  <c:v>7.638888888888884E-2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</c:v>
                </c:pt>
                <c:pt idx="1">
                  <c:v>0.33888888888888885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0</c:v>
                </c:pt>
                <c:pt idx="1">
                  <c:v>2.916666666666673E-2</c:v>
                </c:pt>
                <c:pt idx="2">
                  <c:v>2.7777777777777846E-2</c:v>
                </c:pt>
                <c:pt idx="3">
                  <c:v>2.8472222222222232E-2</c:v>
                </c:pt>
                <c:pt idx="4">
                  <c:v>2.7083333333333348E-2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0</c:v>
                </c:pt>
                <c:pt idx="1">
                  <c:v>1.5277777777777724E-2</c:v>
                </c:pt>
                <c:pt idx="2">
                  <c:v>1.3194444444444453E-2</c:v>
                </c:pt>
                <c:pt idx="3">
                  <c:v>9.7222222222221877E-3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</c:v>
                </c:pt>
                <c:pt idx="1">
                  <c:v>0.21944444444444444</c:v>
                </c:pt>
                <c:pt idx="2">
                  <c:v>0.21944444444444439</c:v>
                </c:pt>
                <c:pt idx="3">
                  <c:v>0.22916666666666663</c:v>
                </c:pt>
                <c:pt idx="4">
                  <c:v>0.2229166666666666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0</c:v>
                </c:pt>
                <c:pt idx="1">
                  <c:v>8.3333333333333037E-3</c:v>
                </c:pt>
                <c:pt idx="2">
                  <c:v>3.4722222222222099E-3</c:v>
                </c:pt>
                <c:pt idx="3">
                  <c:v>6.9444444444445308E-3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0</c:v>
                </c:pt>
                <c:pt idx="1">
                  <c:v>2.9166666666666785E-2</c:v>
                </c:pt>
                <c:pt idx="2">
                  <c:v>3.125E-2</c:v>
                </c:pt>
                <c:pt idx="3">
                  <c:v>2.777777777777779E-2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0</c:v>
                </c:pt>
                <c:pt idx="1">
                  <c:v>2.2916666666666585E-2</c:v>
                </c:pt>
                <c:pt idx="2">
                  <c:v>2.777777777777779E-2</c:v>
                </c:pt>
                <c:pt idx="3">
                  <c:v>1.7361111111111049E-2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0</c:v>
                </c:pt>
                <c:pt idx="1">
                  <c:v>1.1805555555555514E-2</c:v>
                </c:pt>
                <c:pt idx="2">
                  <c:v>1.2499999999999845E-2</c:v>
                </c:pt>
                <c:pt idx="3">
                  <c:v>1.1111111111111072E-2</c:v>
                </c:pt>
                <c:pt idx="4">
                  <c:v>1.2499999999999845E-2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0</c:v>
                </c:pt>
                <c:pt idx="1">
                  <c:v>2.9166666666666563E-2</c:v>
                </c:pt>
                <c:pt idx="2">
                  <c:v>3.6111111111111205E-2</c:v>
                </c:pt>
                <c:pt idx="3">
                  <c:v>2.9166666666666674E-2</c:v>
                </c:pt>
                <c:pt idx="4">
                  <c:v>3.2638888888888995E-2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</c:v>
                </c:pt>
                <c:pt idx="1">
                  <c:v>0.21944444444444455</c:v>
                </c:pt>
                <c:pt idx="2">
                  <c:v>0.2104166666666667</c:v>
                </c:pt>
                <c:pt idx="3">
                  <c:v>0.22569444444444442</c:v>
                </c:pt>
                <c:pt idx="4">
                  <c:v>0.21527777777777779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0</c:v>
                </c:pt>
                <c:pt idx="1">
                  <c:v>3.4722222222222099E-3</c:v>
                </c:pt>
                <c:pt idx="2">
                  <c:v>4.8611111111110938E-3</c:v>
                </c:pt>
                <c:pt idx="3">
                  <c:v>9.7222222222222987E-3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2.9861111111111005E-2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0</c:v>
                </c:pt>
                <c:pt idx="1">
                  <c:v>3.125E-2</c:v>
                </c:pt>
                <c:pt idx="2">
                  <c:v>3.125E-2</c:v>
                </c:pt>
                <c:pt idx="3">
                  <c:v>1.388888888888884E-2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</c:v>
                </c:pt>
                <c:pt idx="1">
                  <c:v>0.34027777777777773</c:v>
                </c:pt>
                <c:pt idx="2">
                  <c:v>0.34375</c:v>
                </c:pt>
                <c:pt idx="3">
                  <c:v>0.34027777777777773</c:v>
                </c:pt>
                <c:pt idx="4">
                  <c:v>0.33819444444444446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0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2.7777777777777846E-2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0</c:v>
                </c:pt>
                <c:pt idx="1">
                  <c:v>1.1805555555555569E-2</c:v>
                </c:pt>
                <c:pt idx="2">
                  <c:v>9.0277777777778012E-3</c:v>
                </c:pt>
                <c:pt idx="3">
                  <c:v>1.7361111111111105E-2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</c:v>
                </c:pt>
                <c:pt idx="1">
                  <c:v>0.23125000000000007</c:v>
                </c:pt>
                <c:pt idx="2">
                  <c:v>0.23125000000000007</c:v>
                </c:pt>
                <c:pt idx="3">
                  <c:v>0.22222222222222227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0</c:v>
                </c:pt>
                <c:pt idx="1">
                  <c:v>6.9444444444444198E-3</c:v>
                </c:pt>
                <c:pt idx="2">
                  <c:v>6.2499999999999778E-3</c:v>
                </c:pt>
                <c:pt idx="3">
                  <c:v>1.041666666666663E-2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0</c:v>
                </c:pt>
                <c:pt idx="1">
                  <c:v>1.388888888888884E-2</c:v>
                </c:pt>
                <c:pt idx="2">
                  <c:v>1.736111111111116E-2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0</c:v>
                </c:pt>
                <c:pt idx="1">
                  <c:v>1.388888888888884E-2</c:v>
                </c:pt>
                <c:pt idx="2">
                  <c:v>1.041666666666663E-2</c:v>
                </c:pt>
                <c:pt idx="3">
                  <c:v>6.9444444444443088E-3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0</c:v>
                </c:pt>
                <c:pt idx="1">
                  <c:v>2.777777777777779E-2</c:v>
                </c:pt>
                <c:pt idx="2">
                  <c:v>3.125E-2</c:v>
                </c:pt>
                <c:pt idx="3">
                  <c:v>3.8194444444444531E-2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</c:v>
                </c:pt>
                <c:pt idx="1">
                  <c:v>0.23611111111111105</c:v>
                </c:pt>
                <c:pt idx="2">
                  <c:v>0.23958333333333337</c:v>
                </c:pt>
                <c:pt idx="3">
                  <c:v>0.22638888888888886</c:v>
                </c:pt>
                <c:pt idx="4">
                  <c:v>0.20138888888888884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0</c:v>
                </c:pt>
                <c:pt idx="1">
                  <c:v>6.9444444444445308E-3</c:v>
                </c:pt>
                <c:pt idx="2">
                  <c:v>6.9444444444443088E-3</c:v>
                </c:pt>
                <c:pt idx="3">
                  <c:v>6.2499999999999778E-3</c:v>
                </c:pt>
                <c:pt idx="4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0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0</c:v>
                </c:pt>
                <c:pt idx="1">
                  <c:v>1.388888888888884E-2</c:v>
                </c:pt>
                <c:pt idx="2">
                  <c:v>1.041666666666663E-2</c:v>
                </c:pt>
                <c:pt idx="3">
                  <c:v>1.388888888888884E-2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8.3333333333333037E-3</c:v>
                </c:pt>
                <c:pt idx="4">
                  <c:v>1.3888888888888895E-2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0.18055555555555552</c:v>
                </c:pt>
                <c:pt idx="2">
                  <c:v>0.19791666666666669</c:v>
                </c:pt>
                <c:pt idx="3">
                  <c:v>0.17569444444444443</c:v>
                </c:pt>
                <c:pt idx="4">
                  <c:v>0.1736111111111111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3.4722222222222099E-3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2.083333333333337E-2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0.25694444444444409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0.33333333333333331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0</c:v>
                </c:pt>
                <c:pt idx="1">
                  <c:v>2.4305555555555525E-2</c:v>
                </c:pt>
                <c:pt idx="2">
                  <c:v>2.7083333333333293E-2</c:v>
                </c:pt>
                <c:pt idx="3">
                  <c:v>3.1944444444444497E-2</c:v>
                </c:pt>
                <c:pt idx="4">
                  <c:v>2.5694444444444409E-2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0</c:v>
                </c:pt>
                <c:pt idx="1">
                  <c:v>6.9444444444444753E-3</c:v>
                </c:pt>
                <c:pt idx="2">
                  <c:v>7.6388888888888618E-3</c:v>
                </c:pt>
                <c:pt idx="3">
                  <c:v>1.1805555555555569E-2</c:v>
                </c:pt>
                <c:pt idx="4">
                  <c:v>2.1527777777777812E-2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</c:v>
                </c:pt>
                <c:pt idx="1">
                  <c:v>0.22361111111111109</c:v>
                </c:pt>
                <c:pt idx="2">
                  <c:v>0.24166666666666675</c:v>
                </c:pt>
                <c:pt idx="3">
                  <c:v>0.23472222222222217</c:v>
                </c:pt>
                <c:pt idx="4">
                  <c:v>0.23611111111111105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0</c:v>
                </c:pt>
                <c:pt idx="1">
                  <c:v>6.2499999999999778E-3</c:v>
                </c:pt>
                <c:pt idx="2">
                  <c:v>1.0416666666666741E-2</c:v>
                </c:pt>
                <c:pt idx="3">
                  <c:v>6.2499999999999778E-3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0</c:v>
                </c:pt>
                <c:pt idx="1">
                  <c:v>2.0833333333333259E-2</c:v>
                </c:pt>
                <c:pt idx="2">
                  <c:v>2.430555555555558E-2</c:v>
                </c:pt>
                <c:pt idx="3">
                  <c:v>2.4305555555555469E-2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0</c:v>
                </c:pt>
                <c:pt idx="1">
                  <c:v>2.777777777777779E-2</c:v>
                </c:pt>
                <c:pt idx="2">
                  <c:v>1.736111111111116E-2</c:v>
                </c:pt>
                <c:pt idx="3">
                  <c:v>2.430555555555558E-2</c:v>
                </c:pt>
                <c:pt idx="4">
                  <c:v>1.3888888888888618E-2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0</c:v>
                </c:pt>
                <c:pt idx="1">
                  <c:v>3.4722222222222099E-2</c:v>
                </c:pt>
                <c:pt idx="2">
                  <c:v>3.819444444444442E-2</c:v>
                </c:pt>
                <c:pt idx="3">
                  <c:v>4.166666666666663E-2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1.0416666666666741E-2</c:v>
                </c:pt>
                <c:pt idx="3">
                  <c:v>6.9444444444445308E-3</c:v>
                </c:pt>
                <c:pt idx="4">
                  <c:v>8.3333333333334147E-3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0.20138888888888884</c:v>
                </c:pt>
                <c:pt idx="3">
                  <c:v>0.19444444444444431</c:v>
                </c:pt>
                <c:pt idx="4">
                  <c:v>0.20347222222222217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0</c:v>
                </c:pt>
                <c:pt idx="1">
                  <c:v>6.9444444444445308E-3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0</c:v>
                </c:pt>
                <c:pt idx="1">
                  <c:v>2.777777777777779E-2</c:v>
                </c:pt>
                <c:pt idx="2">
                  <c:v>3.125E-2</c:v>
                </c:pt>
                <c:pt idx="3">
                  <c:v>3.125E-2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0</c:v>
                </c:pt>
                <c:pt idx="1">
                  <c:v>1.388888888888884E-2</c:v>
                </c:pt>
                <c:pt idx="2">
                  <c:v>4.513888888888884E-2</c:v>
                </c:pt>
                <c:pt idx="3">
                  <c:v>5.2083333333333259E-2</c:v>
                </c:pt>
                <c:pt idx="4">
                  <c:v>4.7222222222222165E-2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0</c:v>
                </c:pt>
                <c:pt idx="1">
                  <c:v>3.819444444444442E-2</c:v>
                </c:pt>
                <c:pt idx="2">
                  <c:v>3.819444444444442E-2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0</c:v>
                </c:pt>
                <c:pt idx="1">
                  <c:v>2.0833333333333315E-2</c:v>
                </c:pt>
                <c:pt idx="2">
                  <c:v>1.736111111111116E-2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</c:v>
                </c:pt>
                <c:pt idx="1">
                  <c:v>0.21180555555555564</c:v>
                </c:pt>
                <c:pt idx="2">
                  <c:v>0.20833333333333337</c:v>
                </c:pt>
                <c:pt idx="3">
                  <c:v>0.21527777777777773</c:v>
                </c:pt>
                <c:pt idx="4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0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0</c:v>
                </c:pt>
                <c:pt idx="1">
                  <c:v>2.430555555555558E-2</c:v>
                </c:pt>
                <c:pt idx="2">
                  <c:v>2.7777777777777679E-2</c:v>
                </c:pt>
                <c:pt idx="3">
                  <c:v>2.777777777777779E-2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0</c:v>
                </c:pt>
                <c:pt idx="1">
                  <c:v>3.819444444444442E-2</c:v>
                </c:pt>
                <c:pt idx="2">
                  <c:v>4.5138888888888951E-2</c:v>
                </c:pt>
                <c:pt idx="3">
                  <c:v>3.472222222222221E-2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6:58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6:54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10</xdr:row>
      <xdr:rowOff>7620</xdr:rowOff>
    </xdr:from>
    <xdr:to>
      <xdr:col>24</xdr:col>
      <xdr:colOff>121920</xdr:colOff>
      <xdr:row>13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5295900" y="23393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9</xdr:col>
      <xdr:colOff>160020</xdr:colOff>
      <xdr:row>5</xdr:row>
      <xdr:rowOff>182880</xdr:rowOff>
    </xdr:from>
    <xdr:to>
      <xdr:col>14</xdr:col>
      <xdr:colOff>182880</xdr:colOff>
      <xdr:row>11</xdr:row>
      <xdr:rowOff>144780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16200000" flipH="1">
          <a:off x="4335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</xdr:colOff>
      <xdr:row>5</xdr:row>
      <xdr:rowOff>129540</xdr:rowOff>
    </xdr:from>
    <xdr:to>
      <xdr:col>7</xdr:col>
      <xdr:colOff>68580</xdr:colOff>
      <xdr:row>9</xdr:row>
      <xdr:rowOff>91440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5400000" flipH="1" flipV="1">
          <a:off x="2983230" y="1405890"/>
          <a:ext cx="1074420" cy="5638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9</xdr:row>
      <xdr:rowOff>152400</xdr:rowOff>
    </xdr:from>
    <xdr:to>
      <xdr:col>6</xdr:col>
      <xdr:colOff>106680</xdr:colOff>
      <xdr:row>11</xdr:row>
      <xdr:rowOff>160020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617220" y="228600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10:23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0E000000}" name="Tabla5383940414243" displayName="Tabla5383940414243" ref="A2:J23" totalsRowShown="0" headerRowDxfId="54" dataDxfId="53" tableBorderDxfId="52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F000000}" name="Tabla538394041" displayName="Tabla538394041" ref="A2:J23" totalsRowShown="0" headerRowDxfId="43" dataDxfId="42" tableBorderDxfId="41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0000000}" name="Tabla53839404142" displayName="Tabla53839404142" ref="A2:J23" totalsRowShown="0" headerRowDxfId="32" dataDxfId="31" tableBorderDxfId="30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E9" sqref="E9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49</v>
      </c>
      <c r="B3" s="8" t="s">
        <v>37</v>
      </c>
      <c r="C3" s="2"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+Tabla5[[#This Row],[ALMUERZO]]-Tabla5[[#This Row],[TERMINO ACT. AM]]</f>
        <v>0</v>
      </c>
      <c r="U3" s="1">
        <f>+Tabla5[[#This Row],[INICIO ACTIVIDADES PM]]-Tabla5[[#This Row],[ALMUERZO]]</f>
        <v>0</v>
      </c>
      <c r="V3" s="1">
        <f>+Tabla5[[#This Row],[TERMINO ACTIVIDADES PM]]-Tabla5[[#This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49</v>
      </c>
      <c r="B4" s="8" t="s">
        <v>26</v>
      </c>
      <c r="C4" s="2">
        <v>44929</v>
      </c>
      <c r="D4" s="29">
        <v>0.33680555555555558</v>
      </c>
      <c r="E4" s="29">
        <v>0.3611111111111111</v>
      </c>
      <c r="F4" s="29">
        <v>0.36805555555555558</v>
      </c>
      <c r="G4" s="29">
        <v>0.61527777777777781</v>
      </c>
      <c r="H4" s="29">
        <v>0.62152777777777779</v>
      </c>
      <c r="I4" s="29">
        <v>0.64236111111111105</v>
      </c>
      <c r="J4" s="27">
        <v>0.65625</v>
      </c>
      <c r="K4" s="37"/>
      <c r="M4" s="3"/>
      <c r="N4" s="3" t="s">
        <v>16</v>
      </c>
      <c r="O4" s="2">
        <f>Tabla5[[#This Row],[FECHA]]</f>
        <v>44929</v>
      </c>
      <c r="P4" s="1">
        <f>D4</f>
        <v>0.33680555555555558</v>
      </c>
      <c r="Q4" s="1">
        <f t="shared" ref="Q4:Q7" si="0">E4-D4</f>
        <v>2.4305555555555525E-2</v>
      </c>
      <c r="R4" s="1">
        <f t="shared" ref="R4:R7" si="1">F4-E4</f>
        <v>6.9444444444444753E-3</v>
      </c>
      <c r="S4" s="1">
        <f t="shared" ref="S4:S7" si="2">G4-F4</f>
        <v>0.24722222222222223</v>
      </c>
      <c r="T4" s="1">
        <f>+Tabla5[[#This Row],[ALMUERZO]]-Tabla5[[#This Row],[TERMINO ACT. AM]]</f>
        <v>6.2499999999999778E-3</v>
      </c>
      <c r="U4" s="1">
        <f>+Tabla5[[#This Row],[INICIO ACTIVIDADES PM]]-Tabla5[[#This Row],[ALMUERZO]]</f>
        <v>2.0833333333333259E-2</v>
      </c>
      <c r="V4" s="1">
        <f>+Tabla5[[#This Row],[TERMINO ACTIVIDADES PM]]-Tabla5[[#This Row],[INICIO ACTIVIDADES PM]]</f>
        <v>1.3888888888888951E-2</v>
      </c>
      <c r="W4" s="1">
        <f t="shared" ref="W4:W7" si="3">+$D$1</f>
        <v>0.33333333333333331</v>
      </c>
      <c r="X4" s="1">
        <f t="shared" ref="X4:X7" si="4">+$E$1</f>
        <v>0.35416666666666669</v>
      </c>
      <c r="Y4" s="1">
        <f t="shared" ref="Y4:Y7" si="5">+$F$1</f>
        <v>0.375</v>
      </c>
      <c r="Z4" s="1">
        <f t="shared" ref="Z4:Z7" si="6">+$G$1</f>
        <v>0.59375</v>
      </c>
      <c r="AA4" s="1">
        <f t="shared" ref="AA4:AA7" si="7">+$H$1</f>
        <v>0.61458333333333337</v>
      </c>
      <c r="AB4" s="1">
        <f t="shared" ref="AB4:AB7" si="8">+$I$1</f>
        <v>0.63541666666666663</v>
      </c>
      <c r="AC4" s="1">
        <f t="shared" ref="AC4:AC7" si="9">+$J$1</f>
        <v>0.66666666666666663</v>
      </c>
    </row>
    <row r="5" spans="1:29" x14ac:dyDescent="0.25">
      <c r="A5" s="8" t="s">
        <v>49</v>
      </c>
      <c r="B5" s="8" t="s">
        <v>27</v>
      </c>
      <c r="C5" s="2">
        <v>44930</v>
      </c>
      <c r="D5" s="29">
        <v>0.33680555555555558</v>
      </c>
      <c r="E5" s="29">
        <v>0.36388888888888887</v>
      </c>
      <c r="F5" s="29">
        <v>0.37152777777777773</v>
      </c>
      <c r="G5" s="29">
        <v>0.61111111111111105</v>
      </c>
      <c r="H5" s="29">
        <v>0.62152777777777779</v>
      </c>
      <c r="I5" s="29">
        <v>0.64583333333333337</v>
      </c>
      <c r="J5" s="27">
        <v>0.65972222222222199</v>
      </c>
      <c r="K5" s="37"/>
      <c r="M5" s="3"/>
      <c r="N5" s="3" t="s">
        <v>16</v>
      </c>
      <c r="O5" s="2">
        <f>Tabla5[[#This Row],[FECHA]]</f>
        <v>44930</v>
      </c>
      <c r="P5" s="1">
        <f>D5</f>
        <v>0.33680555555555558</v>
      </c>
      <c r="Q5" s="1">
        <f t="shared" si="0"/>
        <v>2.7083333333333293E-2</v>
      </c>
      <c r="R5" s="1">
        <f t="shared" si="1"/>
        <v>7.6388888888888618E-3</v>
      </c>
      <c r="S5" s="1">
        <f t="shared" si="2"/>
        <v>0.23958333333333331</v>
      </c>
      <c r="T5" s="1">
        <f>+Tabla5[[#This Row],[ALMUERZO]]-Tabla5[[#This Row],[TERMINO ACT. AM]]</f>
        <v>1.0416666666666741E-2</v>
      </c>
      <c r="U5" s="1">
        <f>+Tabla5[[#This Row],[INICIO ACTIVIDADES PM]]-Tabla5[[#This Row],[ALMUERZO]]</f>
        <v>2.430555555555558E-2</v>
      </c>
      <c r="V5" s="1">
        <f>+Tabla5[[#This Row],[TERMINO ACTIVIDADES PM]]-Tabla5[[#This Row],[INICIO ACTIVIDADES PM]]</f>
        <v>1.3888888888888618E-2</v>
      </c>
      <c r="W5" s="1">
        <f t="shared" si="3"/>
        <v>0.33333333333333331</v>
      </c>
      <c r="X5" s="1">
        <f t="shared" si="4"/>
        <v>0.35416666666666669</v>
      </c>
      <c r="Y5" s="1">
        <f t="shared" si="5"/>
        <v>0.375</v>
      </c>
      <c r="Z5" s="1">
        <f t="shared" si="6"/>
        <v>0.59375</v>
      </c>
      <c r="AA5" s="1">
        <f t="shared" si="7"/>
        <v>0.61458333333333337</v>
      </c>
      <c r="AB5" s="1">
        <f t="shared" si="8"/>
        <v>0.63541666666666663</v>
      </c>
      <c r="AC5" s="1">
        <f t="shared" si="9"/>
        <v>0.66666666666666663</v>
      </c>
    </row>
    <row r="6" spans="1:29" x14ac:dyDescent="0.25">
      <c r="A6" s="8" t="s">
        <v>49</v>
      </c>
      <c r="B6" s="8" t="s">
        <v>28</v>
      </c>
      <c r="C6" s="2">
        <v>44931</v>
      </c>
      <c r="D6" s="29">
        <v>0.33333333333333331</v>
      </c>
      <c r="E6" s="29">
        <v>0.36527777777777781</v>
      </c>
      <c r="F6" s="29">
        <v>0.37708333333333338</v>
      </c>
      <c r="G6" s="29">
        <v>0.6118055555555556</v>
      </c>
      <c r="H6" s="29">
        <v>0.61805555555555558</v>
      </c>
      <c r="I6" s="29">
        <v>0.64236111111111105</v>
      </c>
      <c r="J6" s="27">
        <v>0.65972222222222221</v>
      </c>
      <c r="K6" s="37"/>
      <c r="M6" s="3"/>
      <c r="N6" s="3" t="s">
        <v>17</v>
      </c>
      <c r="O6" s="2">
        <f>Tabla5[[#This Row],[FECHA]]</f>
        <v>44931</v>
      </c>
      <c r="P6" s="1">
        <f>D6</f>
        <v>0.33333333333333331</v>
      </c>
      <c r="Q6" s="1">
        <f t="shared" si="0"/>
        <v>3.1944444444444497E-2</v>
      </c>
      <c r="R6" s="1">
        <f t="shared" si="1"/>
        <v>1.1805555555555569E-2</v>
      </c>
      <c r="S6" s="1">
        <f t="shared" si="2"/>
        <v>0.23472222222222222</v>
      </c>
      <c r="T6" s="1">
        <f>+Tabla5[[#This Row],[ALMUERZO]]-Tabla5[[#This Row],[TERMINO ACT. AM]]</f>
        <v>6.2499999999999778E-3</v>
      </c>
      <c r="U6" s="1">
        <f>+Tabla5[[#This Row],[INICIO ACTIVIDADES PM]]-Tabla5[[#This Row],[ALMUERZO]]</f>
        <v>2.4305555555555469E-2</v>
      </c>
      <c r="V6" s="1">
        <f>+Tabla5[[#This Row],[TERMINO ACTIVIDADES PM]]-Tabla5[[#This Row],[INICIO ACTIVIDADES PM]]</f>
        <v>1.736111111111116E-2</v>
      </c>
      <c r="W6" s="1">
        <f t="shared" si="3"/>
        <v>0.33333333333333331</v>
      </c>
      <c r="X6" s="1">
        <f t="shared" si="4"/>
        <v>0.35416666666666669</v>
      </c>
      <c r="Y6" s="1">
        <f t="shared" si="5"/>
        <v>0.375</v>
      </c>
      <c r="Z6" s="1">
        <f t="shared" si="6"/>
        <v>0.59375</v>
      </c>
      <c r="AA6" s="1">
        <f t="shared" si="7"/>
        <v>0.61458333333333337</v>
      </c>
      <c r="AB6" s="1">
        <f t="shared" si="8"/>
        <v>0.63541666666666663</v>
      </c>
      <c r="AC6" s="1">
        <f t="shared" si="9"/>
        <v>0.66666666666666663</v>
      </c>
    </row>
    <row r="7" spans="1:29" x14ac:dyDescent="0.25">
      <c r="A7" s="8" t="s">
        <v>49</v>
      </c>
      <c r="B7" s="8" t="s">
        <v>38</v>
      </c>
      <c r="C7" s="2">
        <v>44932</v>
      </c>
      <c r="D7" s="29">
        <v>0.33680555555555558</v>
      </c>
      <c r="E7" s="29">
        <v>0.36249999999999999</v>
      </c>
      <c r="F7" s="29">
        <v>0.3840277777777778</v>
      </c>
      <c r="G7" s="29">
        <v>0.60763888888888895</v>
      </c>
      <c r="H7" s="29">
        <v>0.62152777777777779</v>
      </c>
      <c r="I7" s="29">
        <v>0.64583333333333337</v>
      </c>
      <c r="J7" s="27">
        <v>0.65972222222222221</v>
      </c>
      <c r="K7" s="37"/>
      <c r="M7" s="3"/>
      <c r="N7" s="3" t="s">
        <v>18</v>
      </c>
      <c r="O7" s="2">
        <f>Tabla5[[#This Row],[FECHA]]</f>
        <v>44932</v>
      </c>
      <c r="P7" s="1">
        <f>D7</f>
        <v>0.33680555555555558</v>
      </c>
      <c r="Q7" s="1">
        <f t="shared" si="0"/>
        <v>2.5694444444444409E-2</v>
      </c>
      <c r="R7" s="1">
        <f t="shared" si="1"/>
        <v>2.1527777777777812E-2</v>
      </c>
      <c r="S7" s="1">
        <f t="shared" si="2"/>
        <v>0.22361111111111115</v>
      </c>
      <c r="T7" s="1">
        <f>+Tabla5[[#This Row],[ALMUERZO]]-Tabla5[[#This Row],[TERMINO ACT. AM]]</f>
        <v>1.388888888888884E-2</v>
      </c>
      <c r="U7" s="1">
        <f>+Tabla5[[#This Row],[INICIO ACTIVIDADES PM]]-Tabla5[[#This Row],[ALMUERZO]]</f>
        <v>2.430555555555558E-2</v>
      </c>
      <c r="V7" s="1">
        <f>+Tabla5[[#This Row],[TERMINO ACTIVIDADES PM]]-Tabla5[[#This Row],[INICIO ACTIVIDADES PM]]</f>
        <v>1.388888888888884E-2</v>
      </c>
      <c r="W7" s="1">
        <f t="shared" si="3"/>
        <v>0.33333333333333331</v>
      </c>
      <c r="X7" s="1">
        <f t="shared" si="4"/>
        <v>0.35416666666666669</v>
      </c>
      <c r="Y7" s="1">
        <f t="shared" si="5"/>
        <v>0.375</v>
      </c>
      <c r="Z7" s="1">
        <f t="shared" si="6"/>
        <v>0.59375</v>
      </c>
      <c r="AA7" s="1">
        <f t="shared" si="7"/>
        <v>0.61458333333333337</v>
      </c>
      <c r="AB7" s="1">
        <f t="shared" si="8"/>
        <v>0.63541666666666663</v>
      </c>
      <c r="AC7" s="1">
        <f t="shared" si="9"/>
        <v>0.66666666666666663</v>
      </c>
    </row>
    <row r="8" spans="1:29" x14ac:dyDescent="0.25">
      <c r="A8" s="8"/>
      <c r="B8" s="8"/>
      <c r="C8" s="2">
        <v>44933</v>
      </c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">
        <v>44934</v>
      </c>
      <c r="D9" s="8"/>
      <c r="E9" s="8"/>
      <c r="F9" s="8"/>
      <c r="G9" s="8"/>
      <c r="H9" s="8"/>
      <c r="I9" s="27"/>
      <c r="J9" s="27"/>
      <c r="K9" s="30"/>
      <c r="M9" s="3">
        <f>Tabla5[[#This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29"/>
      <c r="J10" s="29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29"/>
      <c r="J11" s="29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29"/>
      <c r="J12" s="29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0.26111111111111118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0.25347222222222193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0.25208333333333338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0.23749999999999999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0.25104166666666666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1.0041666666666667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62" t="s">
        <v>105</v>
      </c>
      <c r="I29" s="163" t="s">
        <v>103</v>
      </c>
      <c r="T29" s="1"/>
    </row>
    <row r="30" spans="1:20" ht="15.6" customHeight="1" x14ac:dyDescent="0.25">
      <c r="H30" s="162"/>
      <c r="I30" s="164"/>
      <c r="T30" s="1"/>
    </row>
    <row r="31" spans="1:20" ht="15.6" customHeight="1" x14ac:dyDescent="0.25">
      <c r="H31" s="162"/>
      <c r="I31" s="164"/>
      <c r="T31" s="1"/>
    </row>
    <row r="32" spans="1:20" ht="15.6" customHeight="1" x14ac:dyDescent="0.25">
      <c r="H32" s="162"/>
      <c r="I32" s="165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F6" sqref="F6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100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Tabla5383940414243[[#This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+Tabla5383940414243[[#This Row],[ALMUERZO]]-Tabla5383940414243[[#This Row],[TERMINO ACT. AM]]</f>
        <v>0</v>
      </c>
      <c r="U3" s="1">
        <f>+Tabla5383940414243[[#This Row],[INICIO ACTIVIDADES PM]]-Tabla5383940414243[[#This Row],[ALMUERZO]]</f>
        <v>0</v>
      </c>
      <c r="V3" s="1">
        <f>+Tabla5383940414243[[#This Row],[TERMINO ACTIVIDADES PM]]-Tabla5383940414243[[#This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100</v>
      </c>
      <c r="B4" s="8" t="s">
        <v>26</v>
      </c>
      <c r="C4" s="2">
        <f>+Tabla5[[#This Row],[FECHA]]</f>
        <v>44929</v>
      </c>
      <c r="D4" s="29">
        <v>0.3125</v>
      </c>
      <c r="E4" s="29">
        <v>0.33333333333333331</v>
      </c>
      <c r="F4" s="29">
        <v>0.34375</v>
      </c>
      <c r="G4" s="29">
        <v>0.52083333333333337</v>
      </c>
      <c r="H4" s="29">
        <v>0.52569444444444446</v>
      </c>
      <c r="I4" s="29">
        <v>0.55208333333333337</v>
      </c>
      <c r="J4" s="27">
        <v>0.65972222222222221</v>
      </c>
      <c r="K4" s="37"/>
      <c r="M4" s="3"/>
      <c r="N4" s="3" t="s">
        <v>16</v>
      </c>
      <c r="O4" s="2">
        <f>Tabla5383940414243[[#This Row],[FECHA]]</f>
        <v>44929</v>
      </c>
      <c r="P4" s="1">
        <f>D4</f>
        <v>0.3125</v>
      </c>
      <c r="Q4" s="1">
        <f t="shared" ref="Q4:S7" si="0">E4-D4</f>
        <v>2.0833333333333315E-2</v>
      </c>
      <c r="R4" s="1">
        <f t="shared" si="0"/>
        <v>1.0416666666666685E-2</v>
      </c>
      <c r="S4" s="1">
        <f t="shared" si="0"/>
        <v>0.17708333333333337</v>
      </c>
      <c r="T4" s="1">
        <f>+Tabla5383940414243[[#This Row],[ALMUERZO]]-Tabla5383940414243[[#This Row],[TERMINO ACT. AM]]</f>
        <v>4.8611111111110938E-3</v>
      </c>
      <c r="U4" s="1">
        <f>+Tabla5383940414243[[#This Row],[INICIO ACTIVIDADES PM]]-Tabla5383940414243[[#This Row],[ALMUERZO]]</f>
        <v>2.6388888888888906E-2</v>
      </c>
      <c r="V4" s="1">
        <f>+Tabla5383940414243[[#This Row],[TERMINO ACTIVIDADES PM]]-Tabla5383940414243[[#This Row],[INICIO ACTIVIDADES PM]]</f>
        <v>0.10763888888888884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100</v>
      </c>
      <c r="B5" s="8" t="s">
        <v>27</v>
      </c>
      <c r="C5" s="2">
        <f>+Tabla5[[#This Row],[FECHA]]</f>
        <v>44930</v>
      </c>
      <c r="D5" s="29">
        <v>0.31458333333333333</v>
      </c>
      <c r="E5" s="29">
        <v>0.3298611111111111</v>
      </c>
      <c r="F5" s="29">
        <v>0.34027777777777773</v>
      </c>
      <c r="G5" s="29">
        <v>0.52083333333333337</v>
      </c>
      <c r="H5" s="29">
        <v>0.52777777777777779</v>
      </c>
      <c r="I5" s="29">
        <v>0.54999999999999993</v>
      </c>
      <c r="J5" s="27">
        <v>0.65972222222222221</v>
      </c>
      <c r="K5" s="37"/>
      <c r="M5" s="3"/>
      <c r="N5" s="3" t="s">
        <v>16</v>
      </c>
      <c r="O5" s="2">
        <f>Tabla5383940414243[[#This Row],[FECHA]]</f>
        <v>44930</v>
      </c>
      <c r="P5" s="1">
        <f>D5</f>
        <v>0.31458333333333333</v>
      </c>
      <c r="Q5" s="1">
        <f t="shared" si="0"/>
        <v>1.5277777777777779E-2</v>
      </c>
      <c r="R5" s="1">
        <f t="shared" si="0"/>
        <v>1.041666666666663E-2</v>
      </c>
      <c r="S5" s="1">
        <f t="shared" si="0"/>
        <v>0.18055555555555564</v>
      </c>
      <c r="T5" s="1">
        <f>+Tabla5383940414243[[#This Row],[ALMUERZO]]-Tabla5383940414243[[#This Row],[TERMINO ACT. AM]]</f>
        <v>6.9444444444444198E-3</v>
      </c>
      <c r="U5" s="1">
        <f>+Tabla5383940414243[[#This Row],[INICIO ACTIVIDADES PM]]-Tabla5383940414243[[#This Row],[ALMUERZO]]</f>
        <v>2.2222222222222143E-2</v>
      </c>
      <c r="V5" s="1">
        <f>+Tabla5383940414243[[#This Row],[TERMINO ACTIVIDADES PM]]-Tabla5383940414243[[#This Row],[INICIO ACTIVIDADES PM]]</f>
        <v>0.10972222222222228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100</v>
      </c>
      <c r="B6" s="8" t="s">
        <v>28</v>
      </c>
      <c r="C6" s="2">
        <f>+Tabla5[[#This Row],[FECHA]]</f>
        <v>44931</v>
      </c>
      <c r="D6" s="29">
        <v>0.3125</v>
      </c>
      <c r="E6" s="29">
        <v>0.3298611111111111</v>
      </c>
      <c r="F6" s="29">
        <v>0.34027777777777773</v>
      </c>
      <c r="G6" s="29">
        <v>0.52083333333333337</v>
      </c>
      <c r="H6" s="29">
        <v>0.52777777777777779</v>
      </c>
      <c r="I6" s="29">
        <v>0.55347222222222225</v>
      </c>
      <c r="J6" s="27">
        <v>0.65972222222222221</v>
      </c>
      <c r="K6" s="37"/>
      <c r="M6" s="3"/>
      <c r="N6" s="3" t="s">
        <v>17</v>
      </c>
      <c r="O6" s="2">
        <f>Tabla5383940414243[[#This Row],[FECHA]]</f>
        <v>44931</v>
      </c>
      <c r="P6" s="1">
        <f>D6</f>
        <v>0.3125</v>
      </c>
      <c r="Q6" s="1">
        <f t="shared" si="0"/>
        <v>1.7361111111111105E-2</v>
      </c>
      <c r="R6" s="1">
        <f t="shared" si="0"/>
        <v>1.041666666666663E-2</v>
      </c>
      <c r="S6" s="1">
        <f t="shared" si="0"/>
        <v>0.18055555555555564</v>
      </c>
      <c r="T6" s="1">
        <f>+Tabla5383940414243[[#This Row],[ALMUERZO]]-Tabla5383940414243[[#This Row],[TERMINO ACT. AM]]</f>
        <v>6.9444444444444198E-3</v>
      </c>
      <c r="U6" s="1">
        <f>+Tabla5383940414243[[#This Row],[INICIO ACTIVIDADES PM]]-Tabla5383940414243[[#This Row],[ALMUERZO]]</f>
        <v>2.5694444444444464E-2</v>
      </c>
      <c r="V6" s="1">
        <f>+Tabla5383940414243[[#This Row],[TERMINO ACTIVIDADES PM]]-Tabla5383940414243[[#This Row],[INICIO ACTIVIDADES PM]]</f>
        <v>0.10624999999999996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100</v>
      </c>
      <c r="B7" s="8" t="s">
        <v>38</v>
      </c>
      <c r="C7" s="2">
        <f>+Tabla5[[#This Row],[FECHA]]</f>
        <v>44932</v>
      </c>
      <c r="D7" s="29">
        <v>0.31458333333333333</v>
      </c>
      <c r="E7" s="29">
        <v>0.3298611111111111</v>
      </c>
      <c r="F7" s="29">
        <v>0.34027777777777773</v>
      </c>
      <c r="G7" s="29">
        <v>0.52083333333333337</v>
      </c>
      <c r="H7" s="29">
        <v>0.52430555555555558</v>
      </c>
      <c r="I7" s="29">
        <v>0.55208333333333337</v>
      </c>
      <c r="J7" s="27">
        <v>0.65972222222222221</v>
      </c>
      <c r="K7" s="37"/>
      <c r="M7" s="3"/>
      <c r="N7" s="3" t="s">
        <v>18</v>
      </c>
      <c r="O7" s="2">
        <f>Tabla5383940414243[[#This Row],[FECHA]]</f>
        <v>44932</v>
      </c>
      <c r="P7" s="1">
        <f>D7</f>
        <v>0.31458333333333333</v>
      </c>
      <c r="Q7" s="1">
        <f t="shared" si="0"/>
        <v>1.5277777777777779E-2</v>
      </c>
      <c r="R7" s="1">
        <f t="shared" si="0"/>
        <v>1.041666666666663E-2</v>
      </c>
      <c r="S7" s="1">
        <f t="shared" si="0"/>
        <v>0.18055555555555564</v>
      </c>
      <c r="T7" s="1">
        <f>+Tabla5383940414243[[#This Row],[ALMUERZO]]-Tabla5383940414243[[#This Row],[TERMINO ACT. AM]]</f>
        <v>3.4722222222222099E-3</v>
      </c>
      <c r="U7" s="1">
        <f>+Tabla5383940414243[[#This Row],[INICIO ACTIVIDADES PM]]-Tabla5383940414243[[#This Row],[ALMUERZO]]</f>
        <v>2.777777777777779E-2</v>
      </c>
      <c r="V7" s="1">
        <f>+Tabla5383940414243[[#This Row],[TERMINO ACTIVIDADES PM]]-Tabla5383940414243[[#This Row],[INICIO ACTIVIDADES PM]]</f>
        <v>0.10763888888888884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Tabla5383940414243[[#This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P10" s="1"/>
      <c r="Q10" s="59"/>
      <c r="R10" s="59"/>
      <c r="S10" s="59"/>
      <c r="T10" s="59"/>
      <c r="U10" s="59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P11" s="1"/>
      <c r="Q11" s="59"/>
      <c r="R11" s="59"/>
      <c r="S11" s="59"/>
      <c r="T11" s="59"/>
      <c r="U11" s="59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P12" s="1"/>
      <c r="Q12" s="59"/>
      <c r="R12" s="59"/>
      <c r="S12" s="59"/>
      <c r="T12" s="59"/>
      <c r="U12" s="59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59"/>
      <c r="R13" s="59"/>
      <c r="S13" s="59"/>
      <c r="T13" s="59"/>
      <c r="U13" s="59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86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0.28472222222222221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0.29027777777777791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0.28680555555555559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0.28819444444444448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0.28750000000000003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0.29166666666666669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0.98571428571428577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103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F8" sqref="F8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v>44410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+Tabla538394041[[#This Row],[ALMUERZO]]-Tabla538394041[[#This Row],[TERMINO ACT. AM]]</f>
        <v>0</v>
      </c>
      <c r="U3" s="1">
        <f>+Tabla538394041[[#This Row],[INICIO ACTIVIDADES PM]]-Tabla538394041[[#This Row],[ALMUERZO]]</f>
        <v>0</v>
      </c>
      <c r="V3" s="1">
        <f>+Tabla538394041[[#This Row],[TERMINO ACTIVIDADES PM]]-Tabla538394041[[#This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ht="24.75" x14ac:dyDescent="0.25">
      <c r="A4" s="8" t="s">
        <v>99</v>
      </c>
      <c r="B4" s="8" t="s">
        <v>26</v>
      </c>
      <c r="C4" s="2">
        <f>+Tabla5[[#This Row],[FECHA]]</f>
        <v>44929</v>
      </c>
      <c r="D4" s="29">
        <v>0.30902777777777779</v>
      </c>
      <c r="E4" s="29">
        <v>0.33333333333333331</v>
      </c>
      <c r="F4" s="29">
        <v>0.3576388888888889</v>
      </c>
      <c r="G4" s="29">
        <v>0.52777777777777779</v>
      </c>
      <c r="H4" s="29">
        <v>0.54166666666666663</v>
      </c>
      <c r="I4" s="29">
        <v>0.56944444444444442</v>
      </c>
      <c r="J4" s="27">
        <v>0.65277777777777779</v>
      </c>
      <c r="K4" s="37" t="s">
        <v>91</v>
      </c>
      <c r="M4" s="3"/>
      <c r="N4" s="3" t="s">
        <v>16</v>
      </c>
      <c r="O4" s="2">
        <v>44411</v>
      </c>
      <c r="P4" s="1">
        <f>D4</f>
        <v>0.30902777777777779</v>
      </c>
      <c r="Q4" s="1">
        <f t="shared" ref="Q4:Q7" si="0">E4-D4</f>
        <v>2.4305555555555525E-2</v>
      </c>
      <c r="R4" s="1">
        <f t="shared" ref="R4:S7" si="1">F4-E4</f>
        <v>2.430555555555558E-2</v>
      </c>
      <c r="S4" s="1">
        <f t="shared" si="1"/>
        <v>0.1701388888888889</v>
      </c>
      <c r="T4" s="1">
        <f>+Tabla538394041[[#This Row],[ALMUERZO]]-Tabla538394041[[#This Row],[TERMINO ACT. AM]]</f>
        <v>1.388888888888884E-2</v>
      </c>
      <c r="U4" s="1">
        <f>+Tabla538394041[[#This Row],[INICIO ACTIVIDADES PM]]-Tabla538394041[[#This Row],[ALMUERZO]]</f>
        <v>2.777777777777779E-2</v>
      </c>
      <c r="V4" s="1">
        <f>+Tabla538394041[[#This Row],[TERMINO ACTIVIDADES PM]]-Tabla538394041[[#This Row],[INICIO ACTIVIDADES PM]]</f>
        <v>8.333333333333337E-2</v>
      </c>
      <c r="W4" s="1">
        <f t="shared" ref="W4:W7" si="2">+$D$1</f>
        <v>0.33333333333333331</v>
      </c>
      <c r="X4" s="1">
        <f t="shared" ref="X4:X7" si="3">+$E$1</f>
        <v>0.35416666666666669</v>
      </c>
      <c r="Y4" s="1">
        <f t="shared" ref="Y4:Y7" si="4">+$F$1</f>
        <v>0.375</v>
      </c>
      <c r="Z4" s="1">
        <f t="shared" ref="Z4:Z7" si="5">+$G$1</f>
        <v>0.59375</v>
      </c>
      <c r="AA4" s="1">
        <f t="shared" ref="AA4:AA7" si="6">+$H$1</f>
        <v>0.61458333333333337</v>
      </c>
      <c r="AB4" s="1">
        <f t="shared" ref="AB4:AB7" si="7">+$I$1</f>
        <v>0.63541666666666663</v>
      </c>
      <c r="AC4" s="1">
        <f t="shared" ref="AC4:AC7" si="8">+$J$1</f>
        <v>0.66666666666666663</v>
      </c>
    </row>
    <row r="5" spans="1:29" ht="24.75" x14ac:dyDescent="0.25">
      <c r="A5" s="8" t="s">
        <v>99</v>
      </c>
      <c r="B5" s="8" t="s">
        <v>27</v>
      </c>
      <c r="C5" s="2">
        <f>+Tabla5[[#This Row],[FECHA]]</f>
        <v>44930</v>
      </c>
      <c r="D5" s="29">
        <v>0.3125</v>
      </c>
      <c r="E5" s="29">
        <v>0.3263888888888889</v>
      </c>
      <c r="F5" s="29">
        <v>0.35069444444444442</v>
      </c>
      <c r="G5" s="29">
        <v>0.51944444444444449</v>
      </c>
      <c r="H5" s="29">
        <v>0.53125</v>
      </c>
      <c r="I5" s="29">
        <v>0.55555555555555558</v>
      </c>
      <c r="J5" s="27">
        <v>0.65972222222222221</v>
      </c>
      <c r="K5" s="37" t="s">
        <v>91</v>
      </c>
      <c r="M5" s="3"/>
      <c r="N5" s="3" t="s">
        <v>16</v>
      </c>
      <c r="O5" s="2">
        <v>44412</v>
      </c>
      <c r="P5" s="1">
        <f>D5</f>
        <v>0.3125</v>
      </c>
      <c r="Q5" s="1">
        <f t="shared" si="0"/>
        <v>1.3888888888888895E-2</v>
      </c>
      <c r="R5" s="1">
        <f t="shared" si="1"/>
        <v>2.4305555555555525E-2</v>
      </c>
      <c r="S5" s="1">
        <f t="shared" si="1"/>
        <v>0.16875000000000007</v>
      </c>
      <c r="T5" s="1">
        <f>+Tabla538394041[[#This Row],[ALMUERZO]]-Tabla538394041[[#This Row],[TERMINO ACT. AM]]</f>
        <v>1.1805555555555514E-2</v>
      </c>
      <c r="U5" s="1">
        <f>+Tabla538394041[[#This Row],[INICIO ACTIVIDADES PM]]-Tabla538394041[[#This Row],[ALMUERZO]]</f>
        <v>2.430555555555558E-2</v>
      </c>
      <c r="V5" s="1">
        <f>+Tabla538394041[[#This Row],[TERMINO ACTIVIDADES PM]]-Tabla538394041[[#This Row],[INICIO ACTIVIDADES PM]]</f>
        <v>0.10416666666666663</v>
      </c>
      <c r="W5" s="1">
        <f t="shared" si="2"/>
        <v>0.33333333333333331</v>
      </c>
      <c r="X5" s="1">
        <f t="shared" si="3"/>
        <v>0.35416666666666669</v>
      </c>
      <c r="Y5" s="1">
        <f t="shared" si="4"/>
        <v>0.375</v>
      </c>
      <c r="Z5" s="1">
        <f t="shared" si="5"/>
        <v>0.59375</v>
      </c>
      <c r="AA5" s="1">
        <f t="shared" si="6"/>
        <v>0.61458333333333337</v>
      </c>
      <c r="AB5" s="1">
        <f t="shared" si="7"/>
        <v>0.63541666666666663</v>
      </c>
      <c r="AC5" s="1">
        <f t="shared" si="8"/>
        <v>0.66666666666666663</v>
      </c>
    </row>
    <row r="6" spans="1:29" ht="24.75" x14ac:dyDescent="0.25">
      <c r="A6" s="8" t="s">
        <v>99</v>
      </c>
      <c r="B6" s="8" t="s">
        <v>28</v>
      </c>
      <c r="C6" s="2">
        <f>+Tabla5[[#This Row],[FECHA]]</f>
        <v>44931</v>
      </c>
      <c r="D6" s="29">
        <v>0.3125</v>
      </c>
      <c r="E6" s="29">
        <v>0.34027777777777773</v>
      </c>
      <c r="F6" s="29">
        <v>0.3611111111111111</v>
      </c>
      <c r="G6" s="29">
        <v>0.58333333333333337</v>
      </c>
      <c r="H6" s="29">
        <v>0.59027777777777779</v>
      </c>
      <c r="I6" s="29">
        <v>0.61458333333333337</v>
      </c>
      <c r="J6" s="27">
        <v>0.65625</v>
      </c>
      <c r="K6" s="37" t="s">
        <v>91</v>
      </c>
      <c r="M6" s="3"/>
      <c r="N6" s="3" t="s">
        <v>17</v>
      </c>
      <c r="O6" s="2">
        <v>44413</v>
      </c>
      <c r="P6" s="1">
        <f>D6</f>
        <v>0.3125</v>
      </c>
      <c r="Q6" s="1">
        <f t="shared" si="0"/>
        <v>2.7777777777777735E-2</v>
      </c>
      <c r="R6" s="1">
        <f t="shared" si="1"/>
        <v>2.083333333333337E-2</v>
      </c>
      <c r="S6" s="1">
        <f t="shared" si="1"/>
        <v>0.22222222222222227</v>
      </c>
      <c r="T6" s="1">
        <f>+Tabla538394041[[#This Row],[ALMUERZO]]-Tabla538394041[[#This Row],[TERMINO ACT. AM]]</f>
        <v>6.9444444444444198E-3</v>
      </c>
      <c r="U6" s="1">
        <f>+Tabla538394041[[#This Row],[INICIO ACTIVIDADES PM]]-Tabla538394041[[#This Row],[ALMUERZO]]</f>
        <v>2.430555555555558E-2</v>
      </c>
      <c r="V6" s="1">
        <f>+Tabla538394041[[#This Row],[TERMINO ACTIVIDADES PM]]-Tabla538394041[[#This Row],[INICIO ACTIVIDADES PM]]</f>
        <v>4.166666666666663E-2</v>
      </c>
      <c r="W6" s="1">
        <f t="shared" si="2"/>
        <v>0.33333333333333331</v>
      </c>
      <c r="X6" s="1">
        <f t="shared" si="3"/>
        <v>0.35416666666666669</v>
      </c>
      <c r="Y6" s="1">
        <f t="shared" si="4"/>
        <v>0.375</v>
      </c>
      <c r="Z6" s="1">
        <f t="shared" si="5"/>
        <v>0.59375</v>
      </c>
      <c r="AA6" s="1">
        <f t="shared" si="6"/>
        <v>0.61458333333333337</v>
      </c>
      <c r="AB6" s="1">
        <f t="shared" si="7"/>
        <v>0.63541666666666663</v>
      </c>
      <c r="AC6" s="1">
        <f t="shared" si="8"/>
        <v>0.66666666666666663</v>
      </c>
    </row>
    <row r="7" spans="1:29" ht="24.75" x14ac:dyDescent="0.25">
      <c r="A7" s="8" t="s">
        <v>99</v>
      </c>
      <c r="B7" s="8" t="s">
        <v>38</v>
      </c>
      <c r="C7" s="2">
        <f>+Tabla5[[#This Row],[FECHA]]</f>
        <v>44932</v>
      </c>
      <c r="D7" s="29">
        <v>0.31597222222222221</v>
      </c>
      <c r="E7" s="29">
        <v>0.33680555555555558</v>
      </c>
      <c r="F7" s="29">
        <v>0.36944444444444446</v>
      </c>
      <c r="G7" s="29">
        <v>0.52083333333333337</v>
      </c>
      <c r="H7" s="29">
        <v>0.53125</v>
      </c>
      <c r="I7" s="29">
        <v>0.55208333333333337</v>
      </c>
      <c r="J7" s="27">
        <v>0.65277777777777779</v>
      </c>
      <c r="K7" s="37" t="s">
        <v>91</v>
      </c>
      <c r="M7" s="3"/>
      <c r="N7" s="3" t="s">
        <v>18</v>
      </c>
      <c r="O7" s="2">
        <v>44414</v>
      </c>
      <c r="P7" s="1">
        <f>D7</f>
        <v>0.31597222222222221</v>
      </c>
      <c r="Q7" s="1">
        <f t="shared" si="0"/>
        <v>2.083333333333337E-2</v>
      </c>
      <c r="R7" s="1">
        <f t="shared" si="1"/>
        <v>3.2638888888888884E-2</v>
      </c>
      <c r="S7" s="1">
        <f t="shared" si="1"/>
        <v>0.15138888888888891</v>
      </c>
      <c r="T7" s="1">
        <f>+Tabla538394041[[#This Row],[ALMUERZO]]-Tabla538394041[[#This Row],[TERMINO ACT. AM]]</f>
        <v>1.041666666666663E-2</v>
      </c>
      <c r="U7" s="1">
        <f>+Tabla538394041[[#This Row],[INICIO ACTIVIDADES PM]]-Tabla538394041[[#This Row],[ALMUERZO]]</f>
        <v>2.083333333333337E-2</v>
      </c>
      <c r="V7" s="1">
        <f>+Tabla538394041[[#This Row],[TERMINO ACTIVIDADES PM]]-Tabla538394041[[#This Row],[INICIO ACTIVIDADES PM]]</f>
        <v>0.10069444444444442</v>
      </c>
      <c r="W7" s="1">
        <f t="shared" si="2"/>
        <v>0.33333333333333331</v>
      </c>
      <c r="X7" s="1">
        <f t="shared" si="3"/>
        <v>0.35416666666666669</v>
      </c>
      <c r="Y7" s="1">
        <f t="shared" si="4"/>
        <v>0.375</v>
      </c>
      <c r="Z7" s="1">
        <f t="shared" si="5"/>
        <v>0.59375</v>
      </c>
      <c r="AA7" s="1">
        <f t="shared" si="6"/>
        <v>0.61458333333333337</v>
      </c>
      <c r="AB7" s="1">
        <f t="shared" si="7"/>
        <v>0.63541666666666663</v>
      </c>
      <c r="AC7" s="1">
        <f t="shared" si="8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Tabla538394041[[#This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84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0.25347222222222227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0.2729166666666667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0.2638888888888889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0.25208333333333333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0.26059027777777777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1.0423611111111111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I28" s="162" t="s">
        <v>105</v>
      </c>
      <c r="J28" s="163" t="s">
        <v>103</v>
      </c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4"/>
      <c r="T30" s="1"/>
    </row>
    <row r="31" spans="1:20" ht="15.6" customHeight="1" x14ac:dyDescent="0.25">
      <c r="I31" s="162"/>
      <c r="J31" s="165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44928</v>
      </c>
      <c r="D3" s="29"/>
      <c r="E3" s="29"/>
      <c r="F3" s="29"/>
      <c r="G3" s="27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Tabla53839404142[[#This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+Tabla53839404142[[#This Row],[ALMUERZO]]-Tabla53839404142[[#This Row],[TERMINO ACT. AM]]</f>
        <v>0</v>
      </c>
      <c r="U3" s="1">
        <f>+Tabla53839404142[[#This Row],[INICIO ACTIVIDADES PM]]-Tabla53839404142[[#This Row],[ALMUERZO]]</f>
        <v>0</v>
      </c>
      <c r="V3" s="1">
        <f>+Tabla53839404142[[#This Row],[TERMINO ACTIVIDADES PM]]-Tabla53839404142[[#This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44929</v>
      </c>
      <c r="D4" s="29">
        <v>0.64583333333333337</v>
      </c>
      <c r="E4" s="29">
        <v>0.67361111111111116</v>
      </c>
      <c r="F4" s="29">
        <v>0.70138888888888884</v>
      </c>
      <c r="G4" s="27">
        <v>0.83333333333333337</v>
      </c>
      <c r="H4" s="29">
        <v>0.84166666666666667</v>
      </c>
      <c r="I4" s="29">
        <v>0.86805555555555547</v>
      </c>
      <c r="J4" s="27">
        <v>0.98611111111111116</v>
      </c>
      <c r="K4" s="37"/>
      <c r="M4" s="3"/>
      <c r="N4" s="3" t="s">
        <v>16</v>
      </c>
      <c r="O4" s="2">
        <f>Tabla53839404142[[#This Row],[FECHA]]</f>
        <v>44929</v>
      </c>
      <c r="P4" s="1">
        <f>D4</f>
        <v>0.64583333333333337</v>
      </c>
      <c r="Q4" s="1">
        <f t="shared" ref="Q4:S7" si="0">E4-D4</f>
        <v>2.777777777777779E-2</v>
      </c>
      <c r="R4" s="1">
        <f t="shared" si="0"/>
        <v>2.7777777777777679E-2</v>
      </c>
      <c r="S4" s="1">
        <f t="shared" si="0"/>
        <v>0.13194444444444453</v>
      </c>
      <c r="T4" s="1">
        <f>+Tabla53839404142[[#This Row],[ALMUERZO]]-Tabla53839404142[[#This Row],[TERMINO ACT. AM]]</f>
        <v>8.3333333333333037E-3</v>
      </c>
      <c r="U4" s="1">
        <f>+Tabla53839404142[[#This Row],[INICIO ACTIVIDADES PM]]-Tabla53839404142[[#This Row],[ALMUERZO]]</f>
        <v>2.6388888888888795E-2</v>
      </c>
      <c r="V4" s="1">
        <f>+Tabla53839404142[[#This Row],[TERMINO ACTIVIDADES PM]]-Tabla53839404142[[#This Row],[INICIO ACTIVIDADES PM]]</f>
        <v>0.11805555555555569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44930</v>
      </c>
      <c r="D5" s="29">
        <v>0.64583333333333337</v>
      </c>
      <c r="E5" s="29">
        <v>0.67013888888888884</v>
      </c>
      <c r="F5" s="29">
        <v>0.68402777777777779</v>
      </c>
      <c r="G5" s="27">
        <v>0.8125</v>
      </c>
      <c r="H5" s="29">
        <v>0.82291666666666663</v>
      </c>
      <c r="I5" s="29">
        <v>0.84722222222222221</v>
      </c>
      <c r="J5" s="27">
        <v>0.98611111111111116</v>
      </c>
      <c r="K5" s="37"/>
      <c r="M5" s="3"/>
      <c r="N5" s="3" t="s">
        <v>16</v>
      </c>
      <c r="O5" s="2">
        <f>Tabla53839404142[[#This Row],[FECHA]]</f>
        <v>44930</v>
      </c>
      <c r="P5" s="1">
        <f>D5</f>
        <v>0.64583333333333337</v>
      </c>
      <c r="Q5" s="1">
        <f t="shared" si="0"/>
        <v>2.4305555555555469E-2</v>
      </c>
      <c r="R5" s="1">
        <f t="shared" si="0"/>
        <v>1.3888888888888951E-2</v>
      </c>
      <c r="S5" s="1">
        <f t="shared" si="0"/>
        <v>0.12847222222222221</v>
      </c>
      <c r="T5" s="1">
        <f>+Tabla53839404142[[#This Row],[ALMUERZO]]-Tabla53839404142[[#This Row],[TERMINO ACT. AM]]</f>
        <v>1.041666666666663E-2</v>
      </c>
      <c r="U5" s="1">
        <f>+Tabla53839404142[[#This Row],[INICIO ACTIVIDADES PM]]-Tabla53839404142[[#This Row],[ALMUERZO]]</f>
        <v>2.430555555555558E-2</v>
      </c>
      <c r="V5" s="1">
        <f>+Tabla53839404142[[#This Row],[TERMINO ACTIVIDADES PM]]-Tabla53839404142[[#This Row],[INICIO ACTIVIDADES PM]]</f>
        <v>0.13888888888888895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44931</v>
      </c>
      <c r="D6" s="29">
        <v>0.64583333333333337</v>
      </c>
      <c r="E6" s="29">
        <v>0.67361111111111116</v>
      </c>
      <c r="F6" s="29">
        <v>0.69097222222222221</v>
      </c>
      <c r="G6" s="29">
        <v>0.87847222222222221</v>
      </c>
      <c r="H6" s="29">
        <v>0.88888888888888884</v>
      </c>
      <c r="I6" s="29">
        <v>0.91527777777777775</v>
      </c>
      <c r="J6" s="27">
        <v>0.98611111111111116</v>
      </c>
      <c r="K6" s="37"/>
      <c r="M6" s="3"/>
      <c r="N6" s="3" t="s">
        <v>17</v>
      </c>
      <c r="O6" s="2">
        <f>Tabla53839404142[[#This Row],[FECHA]]</f>
        <v>44931</v>
      </c>
      <c r="P6" s="1">
        <f>D6</f>
        <v>0.64583333333333337</v>
      </c>
      <c r="Q6" s="1">
        <f t="shared" si="0"/>
        <v>2.777777777777779E-2</v>
      </c>
      <c r="R6" s="1">
        <f t="shared" si="0"/>
        <v>1.7361111111111049E-2</v>
      </c>
      <c r="S6" s="1">
        <f t="shared" si="0"/>
        <v>0.1875</v>
      </c>
      <c r="T6" s="1">
        <f>+Tabla53839404142[[#This Row],[ALMUERZO]]-Tabla53839404142[[#This Row],[TERMINO ACT. AM]]</f>
        <v>1.041666666666663E-2</v>
      </c>
      <c r="U6" s="1">
        <f>+Tabla53839404142[[#This Row],[INICIO ACTIVIDADES PM]]-Tabla53839404142[[#This Row],[ALMUERZO]]</f>
        <v>2.6388888888888906E-2</v>
      </c>
      <c r="V6" s="1">
        <f>+Tabla53839404142[[#This Row],[TERMINO ACTIVIDADES PM]]-Tabla53839404142[[#This Row],[INICIO ACTIVIDADES PM]]</f>
        <v>7.0833333333333415E-2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44932</v>
      </c>
      <c r="D7" s="29">
        <v>0.64583333333333337</v>
      </c>
      <c r="E7" s="29">
        <v>0.67013888888888884</v>
      </c>
      <c r="F7" s="29">
        <v>0.69097222222222221</v>
      </c>
      <c r="G7" s="27">
        <v>0.83333333333333337</v>
      </c>
      <c r="H7" s="29">
        <v>0.84375</v>
      </c>
      <c r="I7" s="29">
        <v>0.87152777777777779</v>
      </c>
      <c r="J7" s="27">
        <v>0.98611111111111116</v>
      </c>
      <c r="K7" s="37"/>
      <c r="M7" s="3"/>
      <c r="N7" s="3" t="s">
        <v>18</v>
      </c>
      <c r="O7" s="2">
        <f>Tabla53839404142[[#This Row],[FECHA]]</f>
        <v>44932</v>
      </c>
      <c r="P7" s="1">
        <f>D7</f>
        <v>0.64583333333333337</v>
      </c>
      <c r="Q7" s="1">
        <f t="shared" si="0"/>
        <v>2.4305555555555469E-2</v>
      </c>
      <c r="R7" s="1">
        <f t="shared" si="0"/>
        <v>2.083333333333337E-2</v>
      </c>
      <c r="S7" s="1">
        <f t="shared" si="0"/>
        <v>0.14236111111111116</v>
      </c>
      <c r="T7" s="1">
        <f>+Tabla53839404142[[#This Row],[ALMUERZO]]-Tabla53839404142[[#This Row],[TERMINO ACT. AM]]</f>
        <v>1.041666666666663E-2</v>
      </c>
      <c r="U7" s="1">
        <f>+Tabla53839404142[[#This Row],[INICIO ACTIVIDADES PM]]-Tabla53839404142[[#This Row],[ALMUERZO]]</f>
        <v>2.777777777777779E-2</v>
      </c>
      <c r="V7" s="1">
        <f>+Tabla53839404142[[#This Row],[TERMINO ACTIVIDADES PM]]-Tabla53839404142[[#This Row],[INICIO ACTIVIDADES PM]]</f>
        <v>0.11458333333333337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7"/>
      <c r="H9" s="29"/>
      <c r="I9" s="29"/>
      <c r="J9" s="27"/>
      <c r="K9" s="30"/>
      <c r="M9" s="3">
        <f>Tabla53839404142[[#This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7"/>
      <c r="H10" s="29"/>
      <c r="I10" s="29"/>
      <c r="J10" s="27"/>
      <c r="K10" s="30"/>
      <c r="M10" s="3"/>
      <c r="N10" s="3"/>
      <c r="O10" s="2"/>
      <c r="T10" s="1"/>
      <c r="X10" s="59"/>
      <c r="Y10" s="59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7"/>
      <c r="H11" s="29"/>
      <c r="I11" s="29"/>
      <c r="J11" s="27"/>
      <c r="K11" s="30"/>
      <c r="M11" s="3"/>
      <c r="N11" s="3"/>
      <c r="O11" s="2"/>
      <c r="T11" s="1"/>
      <c r="X11" s="59"/>
      <c r="Y11" s="59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T12" s="1"/>
      <c r="X12" s="59"/>
      <c r="Y12" s="59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59"/>
      <c r="Y13" s="59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59"/>
      <c r="Y14" s="59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85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0.25000000000000022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0.26736111111111116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0.25833333333333341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0.25694444444444453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0.25815972222222233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1.0326388888888893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104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G7" sqref="G7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87</v>
      </c>
      <c r="B3" s="8" t="s">
        <v>37</v>
      </c>
      <c r="C3" s="2">
        <f>+Tabla5[[#This Row],[FECHA]]</f>
        <v>44928</v>
      </c>
      <c r="D3" s="29"/>
      <c r="E3" s="29"/>
      <c r="F3" s="29"/>
      <c r="G3" s="27"/>
      <c r="H3" s="27"/>
      <c r="I3" s="27"/>
      <c r="J3" s="27"/>
      <c r="K3" s="37" t="s">
        <v>130</v>
      </c>
      <c r="L3" s="38"/>
      <c r="M3" s="38"/>
      <c r="N3" s="39" t="s">
        <v>15</v>
      </c>
      <c r="O3" s="2">
        <f>Tabla538394041424344[[#This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+Tabla538394041424344[[#This Row],[ALMUERZO]]-Tabla538394041424344[[#This Row],[TERMINO ACT. AM]]</f>
        <v>0</v>
      </c>
      <c r="U3" s="1">
        <f>+Tabla538394041424344[[#This Row],[INICIO ACTIVIDADES PM]]-Tabla538394041424344[[#This Row],[ALMUERZO]]</f>
        <v>0</v>
      </c>
      <c r="V3" s="1">
        <f>+Tabla538394041424344[[#This Row],[TERMINO ACTIVIDADES PM]]-Tabla538394041424344[[#This Row],[INICIO ACTIVIDADES PM]]</f>
        <v>0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  <c r="AC3" s="1">
        <f>+$J$1</f>
        <v>0.97222222222222221</v>
      </c>
    </row>
    <row r="4" spans="1:29" x14ac:dyDescent="0.25">
      <c r="A4" s="8" t="s">
        <v>87</v>
      </c>
      <c r="B4" s="8" t="s">
        <v>26</v>
      </c>
      <c r="C4" s="2">
        <f>+Tabla5[[#This Row],[FECHA]]</f>
        <v>44929</v>
      </c>
      <c r="D4" s="29">
        <v>0.33680555555555558</v>
      </c>
      <c r="E4" s="29">
        <v>0.36805555555555558</v>
      </c>
      <c r="F4" s="29">
        <v>0.38194444444444442</v>
      </c>
      <c r="G4" s="27">
        <v>0.60069444444444442</v>
      </c>
      <c r="H4" s="27">
        <v>0.61111111111111105</v>
      </c>
      <c r="I4" s="27">
        <v>0.63541666666666663</v>
      </c>
      <c r="J4" s="27">
        <v>0.65972222222222221</v>
      </c>
      <c r="K4" s="37"/>
      <c r="M4" s="3"/>
      <c r="N4" s="3" t="s">
        <v>16</v>
      </c>
      <c r="O4" s="2">
        <f>Tabla538394041424344[[#This Row],[FECHA]]</f>
        <v>44929</v>
      </c>
      <c r="P4" s="1">
        <f>D4</f>
        <v>0.33680555555555558</v>
      </c>
      <c r="Q4" s="1">
        <f t="shared" ref="Q4:S7" si="0">E4-D4</f>
        <v>3.125E-2</v>
      </c>
      <c r="R4" s="1">
        <f t="shared" si="0"/>
        <v>1.388888888888884E-2</v>
      </c>
      <c r="S4" s="1">
        <f t="shared" si="0"/>
        <v>0.21875</v>
      </c>
      <c r="T4" s="1">
        <f>+Tabla538394041424344[[#This Row],[ALMUERZO]]-Tabla538394041424344[[#This Row],[TERMINO ACT. AM]]</f>
        <v>1.041666666666663E-2</v>
      </c>
      <c r="U4" s="1">
        <f>+Tabla538394041424344[[#This Row],[INICIO ACTIVIDADES PM]]-Tabla538394041424344[[#This Row],[ALMUERZO]]</f>
        <v>2.430555555555558E-2</v>
      </c>
      <c r="V4" s="1">
        <f>+Tabla538394041424344[[#This Row],[TERMINO ACTIVIDADES PM]]-Tabla538394041424344[[#This Row],[INICIO ACTIVIDADES PM]]</f>
        <v>2.430555555555558E-2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  <c r="AC4" s="1">
        <f t="shared" ref="AC4:AC7" si="7">+$J$1</f>
        <v>0.97222222222222221</v>
      </c>
    </row>
    <row r="5" spans="1:29" x14ac:dyDescent="0.25">
      <c r="A5" s="8" t="s">
        <v>87</v>
      </c>
      <c r="B5" s="8" t="s">
        <v>27</v>
      </c>
      <c r="C5" s="2">
        <f>+Tabla5[[#This Row],[FECHA]]</f>
        <v>44930</v>
      </c>
      <c r="D5" s="29">
        <v>0.33680555555555558</v>
      </c>
      <c r="E5" s="29">
        <v>0.35069444444444442</v>
      </c>
      <c r="F5" s="29">
        <v>0.37152777777777773</v>
      </c>
      <c r="G5" s="27">
        <v>0.60416666666666663</v>
      </c>
      <c r="H5" s="27">
        <v>0.61458333333333337</v>
      </c>
      <c r="I5" s="27">
        <v>0.63541666666666663</v>
      </c>
      <c r="J5" s="27">
        <v>0.65972222222222221</v>
      </c>
      <c r="K5" s="37"/>
      <c r="M5" s="3"/>
      <c r="N5" s="3" t="s">
        <v>16</v>
      </c>
      <c r="O5" s="2">
        <f>Tabla538394041424344[[#This Row],[FECHA]]</f>
        <v>44930</v>
      </c>
      <c r="P5" s="1">
        <f>D5</f>
        <v>0.33680555555555558</v>
      </c>
      <c r="Q5" s="1">
        <f t="shared" si="0"/>
        <v>1.388888888888884E-2</v>
      </c>
      <c r="R5" s="1">
        <f t="shared" si="0"/>
        <v>2.0833333333333315E-2</v>
      </c>
      <c r="S5" s="1">
        <f t="shared" si="0"/>
        <v>0.2326388888888889</v>
      </c>
      <c r="T5" s="1">
        <f>+Tabla538394041424344[[#This Row],[ALMUERZO]]-Tabla538394041424344[[#This Row],[TERMINO ACT. AM]]</f>
        <v>1.0416666666666741E-2</v>
      </c>
      <c r="U5" s="1">
        <f>+Tabla538394041424344[[#This Row],[INICIO ACTIVIDADES PM]]-Tabla538394041424344[[#This Row],[ALMUERZO]]</f>
        <v>2.0833333333333259E-2</v>
      </c>
      <c r="V5" s="1">
        <f>+Tabla538394041424344[[#This Row],[TERMINO ACTIVIDADES PM]]-Tabla538394041424344[[#This Row],[INICIO ACTIVIDADES PM]]</f>
        <v>2.430555555555558E-2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  <c r="AC5" s="1">
        <f t="shared" si="7"/>
        <v>0.97222222222222221</v>
      </c>
    </row>
    <row r="6" spans="1:29" x14ac:dyDescent="0.25">
      <c r="A6" s="8" t="s">
        <v>87</v>
      </c>
      <c r="B6" s="8" t="s">
        <v>28</v>
      </c>
      <c r="C6" s="2">
        <f>+Tabla5[[#This Row],[FECHA]]</f>
        <v>44931</v>
      </c>
      <c r="D6" s="29">
        <v>0.33680555555555558</v>
      </c>
      <c r="E6" s="29">
        <v>0.36458333333333331</v>
      </c>
      <c r="F6" s="29">
        <v>0.38055555555555554</v>
      </c>
      <c r="G6" s="27">
        <v>0.61111111111111105</v>
      </c>
      <c r="H6" s="27">
        <v>0.625</v>
      </c>
      <c r="I6" s="27">
        <v>0.64583333333333337</v>
      </c>
      <c r="J6" s="27">
        <v>0.65972222222222221</v>
      </c>
      <c r="K6" s="37"/>
      <c r="M6" s="3"/>
      <c r="N6" s="3" t="s">
        <v>17</v>
      </c>
      <c r="O6" s="2">
        <f>Tabla538394041424344[[#This Row],[FECHA]]</f>
        <v>44931</v>
      </c>
      <c r="P6" s="1">
        <f>D6</f>
        <v>0.33680555555555558</v>
      </c>
      <c r="Q6" s="1">
        <f t="shared" si="0"/>
        <v>2.7777777777777735E-2</v>
      </c>
      <c r="R6" s="1">
        <f t="shared" si="0"/>
        <v>1.5972222222222221E-2</v>
      </c>
      <c r="S6" s="1">
        <f t="shared" si="0"/>
        <v>0.23055555555555551</v>
      </c>
      <c r="T6" s="1">
        <f>+Tabla538394041424344[[#This Row],[ALMUERZO]]-Tabla538394041424344[[#This Row],[TERMINO ACT. AM]]</f>
        <v>1.3888888888888951E-2</v>
      </c>
      <c r="U6" s="1">
        <f>+Tabla538394041424344[[#This Row],[INICIO ACTIVIDADES PM]]-Tabla538394041424344[[#This Row],[ALMUERZO]]</f>
        <v>2.083333333333337E-2</v>
      </c>
      <c r="V6" s="1">
        <f>+Tabla538394041424344[[#This Row],[TERMINO ACTIVIDADES PM]]-Tabla538394041424344[[#This Row],[INICIO ACTIVIDADES PM]]</f>
        <v>1.388888888888884E-2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  <c r="AC6" s="1">
        <f t="shared" si="7"/>
        <v>0.97222222222222221</v>
      </c>
    </row>
    <row r="7" spans="1:29" x14ac:dyDescent="0.25">
      <c r="A7" s="8" t="s">
        <v>87</v>
      </c>
      <c r="B7" s="8" t="s">
        <v>38</v>
      </c>
      <c r="C7" s="2">
        <f>+Tabla5[[#This Row],[FECHA]]</f>
        <v>44932</v>
      </c>
      <c r="D7" s="29">
        <v>0.33680555555555558</v>
      </c>
      <c r="E7" s="29">
        <v>0.3611111111111111</v>
      </c>
      <c r="F7" s="29">
        <v>0.38194444444444442</v>
      </c>
      <c r="G7" s="27">
        <v>0.59375</v>
      </c>
      <c r="H7" s="27">
        <v>0.60069444444444442</v>
      </c>
      <c r="I7" s="27">
        <v>0.62847222222222221</v>
      </c>
      <c r="J7" s="27">
        <v>0.65972222222222221</v>
      </c>
      <c r="K7" s="37"/>
      <c r="M7" s="3"/>
      <c r="N7" s="3" t="s">
        <v>18</v>
      </c>
      <c r="O7" s="2">
        <f>Tabla538394041424344[[#This Row],[FECHA]]</f>
        <v>44932</v>
      </c>
      <c r="P7" s="1">
        <f>D7</f>
        <v>0.33680555555555558</v>
      </c>
      <c r="Q7" s="1">
        <f t="shared" si="0"/>
        <v>2.4305555555555525E-2</v>
      </c>
      <c r="R7" s="1">
        <f t="shared" si="0"/>
        <v>2.0833333333333315E-2</v>
      </c>
      <c r="S7" s="1">
        <f t="shared" si="0"/>
        <v>0.21180555555555558</v>
      </c>
      <c r="T7" s="1">
        <f>+Tabla538394041424344[[#This Row],[ALMUERZO]]-Tabla538394041424344[[#This Row],[TERMINO ACT. AM]]</f>
        <v>6.9444444444444198E-3</v>
      </c>
      <c r="U7" s="1">
        <f>+Tabla538394041424344[[#This Row],[INICIO ACTIVIDADES PM]]-Tabla538394041424344[[#This Row],[ALMUERZO]]</f>
        <v>2.777777777777779E-2</v>
      </c>
      <c r="V7" s="1">
        <f>+Tabla538394041424344[[#This Row],[TERMINO ACTIVIDADES PM]]-Tabla538394041424344[[#This Row],[INICIO ACTIVIDADES PM]]</f>
        <v>3.125E-2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  <c r="AC7" s="1">
        <f t="shared" si="7"/>
        <v>0.97222222222222221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7"/>
      <c r="G9" s="27"/>
      <c r="H9" s="27"/>
      <c r="I9" s="27"/>
      <c r="J9" s="8"/>
      <c r="K9" s="30"/>
      <c r="M9" s="3">
        <f>Tabla538394041424344[[#This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7"/>
      <c r="G10" s="27"/>
      <c r="H10" s="27"/>
      <c r="I10" s="27"/>
      <c r="J10" s="32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7"/>
      <c r="G11" s="27"/>
      <c r="H11" s="27"/>
      <c r="I11" s="27"/>
      <c r="J11" s="32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7"/>
      <c r="G12" s="29"/>
      <c r="H12" s="27"/>
      <c r="I12" s="27"/>
      <c r="J12" s="8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7"/>
      <c r="G13" s="27"/>
      <c r="H13" s="27"/>
      <c r="I13" s="27"/>
      <c r="J13" s="8"/>
      <c r="K13" s="27"/>
      <c r="M13" s="3"/>
      <c r="N13" s="3"/>
      <c r="O13" s="2"/>
      <c r="V13" s="59"/>
      <c r="W13" s="59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59"/>
      <c r="W14" s="59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87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0.24305555555555558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0.25694444444444448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0.24444444444444435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0.24305555555555558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0.24687499999999998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0.98749999999999993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103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11:20" ht="15.6" customHeight="1" x14ac:dyDescent="0.25">
      <c r="T33" s="1"/>
    </row>
    <row r="34" spans="11:20" x14ac:dyDescent="0.25">
      <c r="K34" s="65"/>
      <c r="T34" s="1"/>
    </row>
    <row r="35" spans="11:20" x14ac:dyDescent="0.25">
      <c r="T35" s="1"/>
    </row>
    <row r="36" spans="11:20" x14ac:dyDescent="0.25">
      <c r="T36" s="1"/>
    </row>
    <row r="37" spans="11:20" x14ac:dyDescent="0.25">
      <c r="T37" s="1"/>
    </row>
    <row r="38" spans="11:20" x14ac:dyDescent="0.25">
      <c r="T38" s="1"/>
    </row>
    <row r="39" spans="11:20" x14ac:dyDescent="0.25">
      <c r="T39" s="1"/>
    </row>
    <row r="40" spans="11:20" x14ac:dyDescent="0.25">
      <c r="T40" s="1"/>
    </row>
    <row r="41" spans="11:20" x14ac:dyDescent="0.25">
      <c r="T41" s="1"/>
    </row>
    <row r="42" spans="11:20" x14ac:dyDescent="0.25">
      <c r="T42" s="1"/>
    </row>
    <row r="43" spans="11:20" x14ac:dyDescent="0.25">
      <c r="T43" s="1"/>
    </row>
    <row r="44" spans="11:20" x14ac:dyDescent="0.25">
      <c r="T44" s="1"/>
    </row>
    <row r="45" spans="11:20" x14ac:dyDescent="0.25">
      <c r="T45" s="1"/>
    </row>
    <row r="46" spans="11:20" x14ac:dyDescent="0.25">
      <c r="T46" s="1"/>
    </row>
    <row r="47" spans="11:20" x14ac:dyDescent="0.25">
      <c r="T47" s="1"/>
    </row>
    <row r="48" spans="11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I8" sqref="I8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Tabla5383940414243444546[[#This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+Tabla5383940414243444546[[#This Row],[ALMUERZO]]-Tabla5383940414243444546[[#This Row],[TERMINO ACT. AM]]</f>
        <v>0</v>
      </c>
      <c r="U3" s="1">
        <f>+Tabla5383940414243444546[[#This Row],[INICIO ACTIVIDADES PM]]-Tabla5383940414243444546[[#This Row],[ALMUERZO]]</f>
        <v>0</v>
      </c>
      <c r="V3" s="1">
        <f>+Tabla5383940414243444546[[#This Row],[TERMINO ACTIVIDADES PM]]-Tabla5383940414243444546[[#This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44929</v>
      </c>
      <c r="D4" s="29">
        <v>0.3125</v>
      </c>
      <c r="E4" s="29">
        <v>0.3298611111111111</v>
      </c>
      <c r="F4" s="29">
        <v>0.35416666666666669</v>
      </c>
      <c r="G4" s="29">
        <v>0.59722222222222221</v>
      </c>
      <c r="H4" s="29">
        <v>0.60416666666666663</v>
      </c>
      <c r="I4" s="29">
        <v>0.63194444444444442</v>
      </c>
      <c r="J4" s="27">
        <v>0.65625</v>
      </c>
      <c r="K4" s="37"/>
      <c r="M4" s="3"/>
      <c r="N4" s="3" t="s">
        <v>16</v>
      </c>
      <c r="O4" s="2">
        <f>Tabla5383940414243444546[[#This Row],[FECHA]]</f>
        <v>44929</v>
      </c>
      <c r="P4" s="1">
        <f>D4</f>
        <v>0.3125</v>
      </c>
      <c r="Q4" s="1">
        <f t="shared" ref="Q4:S7" si="0">E4-D4</f>
        <v>1.7361111111111105E-2</v>
      </c>
      <c r="R4" s="1">
        <f t="shared" si="0"/>
        <v>2.430555555555558E-2</v>
      </c>
      <c r="S4" s="1">
        <f t="shared" si="0"/>
        <v>0.24305555555555552</v>
      </c>
      <c r="T4" s="1">
        <f>+Tabla5383940414243444546[[#This Row],[ALMUERZO]]-Tabla5383940414243444546[[#This Row],[TERMINO ACT. AM]]</f>
        <v>6.9444444444444198E-3</v>
      </c>
      <c r="U4" s="1">
        <f>+Tabla5383940414243444546[[#This Row],[INICIO ACTIVIDADES PM]]-Tabla5383940414243444546[[#This Row],[ALMUERZO]]</f>
        <v>2.777777777777779E-2</v>
      </c>
      <c r="V4" s="1">
        <f>+Tabla5383940414243444546[[#This Row],[TERMINO ACTIVIDADES PM]]-Tabla5383940414243444546[[#This Row],[INICIO ACTIVIDADES PM]]</f>
        <v>2.430555555555558E-2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44930</v>
      </c>
      <c r="D5" s="29">
        <v>0.31597222222222221</v>
      </c>
      <c r="E5" s="29">
        <v>0.33680555555555558</v>
      </c>
      <c r="F5" s="29">
        <v>0.3611111111111111</v>
      </c>
      <c r="G5" s="29">
        <v>0.52430555555555558</v>
      </c>
      <c r="H5" s="29">
        <v>0.53472222222222221</v>
      </c>
      <c r="I5" s="29">
        <v>0.5625</v>
      </c>
      <c r="J5" s="27">
        <v>0.65625</v>
      </c>
      <c r="K5" s="37"/>
      <c r="M5" s="3"/>
      <c r="N5" s="3" t="s">
        <v>16</v>
      </c>
      <c r="O5" s="2">
        <f>Tabla5383940414243444546[[#This Row],[FECHA]]</f>
        <v>44930</v>
      </c>
      <c r="P5" s="1">
        <f>D5</f>
        <v>0.31597222222222221</v>
      </c>
      <c r="Q5" s="1">
        <f t="shared" si="0"/>
        <v>2.083333333333337E-2</v>
      </c>
      <c r="R5" s="1">
        <f t="shared" si="0"/>
        <v>2.4305555555555525E-2</v>
      </c>
      <c r="S5" s="1">
        <f t="shared" si="0"/>
        <v>0.16319444444444448</v>
      </c>
      <c r="T5" s="1">
        <f>+Tabla5383940414243444546[[#This Row],[ALMUERZO]]-Tabla5383940414243444546[[#This Row],[TERMINO ACT. AM]]</f>
        <v>1.041666666666663E-2</v>
      </c>
      <c r="U5" s="1">
        <f>+Tabla5383940414243444546[[#This Row],[INICIO ACTIVIDADES PM]]-Tabla5383940414243444546[[#This Row],[ALMUERZO]]</f>
        <v>2.777777777777779E-2</v>
      </c>
      <c r="V5" s="1">
        <f>+Tabla5383940414243444546[[#This Row],[TERMINO ACTIVIDADES PM]]-Tabla5383940414243444546[[#This Row],[INICIO ACTIVIDADES PM]]</f>
        <v>9.375E-2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44931</v>
      </c>
      <c r="D6" s="29">
        <v>0.30902777777777779</v>
      </c>
      <c r="E6" s="29">
        <v>0.3263888888888889</v>
      </c>
      <c r="F6" s="29">
        <v>0.3527777777777778</v>
      </c>
      <c r="G6" s="29">
        <v>0.56597222222222221</v>
      </c>
      <c r="H6" s="29">
        <v>0.57291666666666663</v>
      </c>
      <c r="I6" s="29">
        <v>0.60069444444444442</v>
      </c>
      <c r="J6" s="27">
        <v>0.65625</v>
      </c>
      <c r="K6" s="37"/>
      <c r="M6" s="3"/>
      <c r="N6" s="3" t="s">
        <v>17</v>
      </c>
      <c r="O6" s="2">
        <f>Tabla5383940414243444546[[#This Row],[FECHA]]</f>
        <v>44931</v>
      </c>
      <c r="P6" s="1">
        <f>D6</f>
        <v>0.30902777777777779</v>
      </c>
      <c r="Q6" s="1">
        <f t="shared" si="0"/>
        <v>1.7361111111111105E-2</v>
      </c>
      <c r="R6" s="1">
        <f t="shared" si="0"/>
        <v>2.6388888888888906E-2</v>
      </c>
      <c r="S6" s="1">
        <f t="shared" si="0"/>
        <v>0.21319444444444441</v>
      </c>
      <c r="T6" s="1">
        <f>+Tabla5383940414243444546[[#This Row],[ALMUERZO]]-Tabla5383940414243444546[[#This Row],[TERMINO ACT. AM]]</f>
        <v>6.9444444444444198E-3</v>
      </c>
      <c r="U6" s="1">
        <f>+Tabla5383940414243444546[[#This Row],[INICIO ACTIVIDADES PM]]-Tabla5383940414243444546[[#This Row],[ALMUERZO]]</f>
        <v>2.777777777777779E-2</v>
      </c>
      <c r="V6" s="1">
        <f>+Tabla5383940414243444546[[#This Row],[TERMINO ACTIVIDADES PM]]-Tabla5383940414243444546[[#This Row],[INICIO ACTIVIDADES PM]]</f>
        <v>5.555555555555558E-2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44932</v>
      </c>
      <c r="D7" s="29">
        <v>0.31111111111111112</v>
      </c>
      <c r="E7" s="29">
        <v>0.32361111111111113</v>
      </c>
      <c r="F7" s="29">
        <v>0.35069444444444442</v>
      </c>
      <c r="G7" s="29">
        <v>0.54513888888888895</v>
      </c>
      <c r="H7" s="29">
        <v>0.55694444444444446</v>
      </c>
      <c r="I7" s="29">
        <v>0.58333333333333337</v>
      </c>
      <c r="J7" s="27">
        <v>0.65972222222222221</v>
      </c>
      <c r="K7" s="62"/>
      <c r="M7" s="3"/>
      <c r="N7" s="3" t="s">
        <v>18</v>
      </c>
      <c r="O7" s="2">
        <f>Tabla5383940414243444546[[#This Row],[FECHA]]</f>
        <v>44932</v>
      </c>
      <c r="P7" s="1">
        <f>D7</f>
        <v>0.31111111111111112</v>
      </c>
      <c r="Q7" s="1">
        <f t="shared" si="0"/>
        <v>1.2500000000000011E-2</v>
      </c>
      <c r="R7" s="1">
        <f t="shared" si="0"/>
        <v>2.7083333333333293E-2</v>
      </c>
      <c r="S7" s="1">
        <f t="shared" si="0"/>
        <v>0.19444444444444453</v>
      </c>
      <c r="T7" s="1">
        <f>+Tabla5383940414243444546[[#This Row],[ALMUERZO]]-Tabla5383940414243444546[[#This Row],[TERMINO ACT. AM]]</f>
        <v>1.1805555555555514E-2</v>
      </c>
      <c r="U7" s="1">
        <f>+Tabla5383940414243444546[[#This Row],[INICIO ACTIVIDADES PM]]-Tabla5383940414243444546[[#This Row],[ALMUERZO]]</f>
        <v>2.6388888888888906E-2</v>
      </c>
      <c r="V7" s="1">
        <f>+Tabla5383940414243444546[[#This Row],[TERMINO ACTIVIDADES PM]]-Tabla5383940414243444546[[#This Row],[INICIO ACTIVIDADES PM]]</f>
        <v>7.638888888888884E-2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9"/>
      <c r="G9" s="29"/>
      <c r="H9" s="29"/>
      <c r="I9" s="27"/>
      <c r="J9" s="8"/>
      <c r="K9" s="30"/>
      <c r="M9" s="3">
        <f>Tabla5383940414243444546[[#This Row],[Columna1]]</f>
        <v>0</v>
      </c>
      <c r="N9" s="3"/>
      <c r="O9" s="2"/>
      <c r="P9" s="1"/>
      <c r="Z9" s="1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9"/>
      <c r="G10" s="29"/>
      <c r="H10" s="29"/>
      <c r="I10" s="27"/>
      <c r="J10" s="32"/>
      <c r="K10" s="30"/>
      <c r="M10" s="3"/>
      <c r="N10" s="3"/>
      <c r="O10" s="2"/>
      <c r="P10" s="1"/>
      <c r="Z10" s="1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9"/>
      <c r="G11" s="29"/>
      <c r="H11" s="29"/>
      <c r="I11" s="27"/>
      <c r="J11" s="32"/>
      <c r="K11" s="30"/>
      <c r="M11" s="3"/>
      <c r="N11" s="3"/>
      <c r="O11" s="2"/>
      <c r="P11" s="1"/>
      <c r="Z11" s="1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9"/>
      <c r="G12" s="29"/>
      <c r="H12" s="29"/>
      <c r="I12" s="27"/>
      <c r="J12" s="8"/>
      <c r="K12" s="30"/>
      <c r="M12" s="3"/>
      <c r="N12" s="3"/>
      <c r="O12" s="2"/>
      <c r="P12" s="1"/>
      <c r="Z12" s="1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9"/>
      <c r="G13" s="29"/>
      <c r="H13" s="29"/>
      <c r="I13" s="27"/>
      <c r="J13" s="7"/>
      <c r="K13" s="27"/>
      <c r="M13" s="3"/>
      <c r="N13" s="3"/>
      <c r="O13" s="2"/>
      <c r="P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88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0.2673611111111111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0.25694444444444448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0.26874999999999999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0.27083333333333337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0.26597222222222228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1.0638888888888891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103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53" t="s">
        <v>65</v>
      </c>
      <c r="C2" s="54">
        <f>'TTE 7'!G21</f>
        <v>0.24687499999999998</v>
      </c>
      <c r="D2" s="52">
        <f t="shared" ref="D2:D9" si="0">+C2/$C$17</f>
        <v>0.98749999999999993</v>
      </c>
      <c r="F2" s="60"/>
    </row>
    <row r="3" spans="2:16" x14ac:dyDescent="0.25">
      <c r="B3" s="55" t="s">
        <v>56</v>
      </c>
      <c r="C3" s="56">
        <f>+'SUB 6'!G21</f>
        <v>0.24288194444444444</v>
      </c>
      <c r="D3" s="52">
        <f t="shared" si="0"/>
        <v>0.97152777777777777</v>
      </c>
      <c r="F3" s="60"/>
    </row>
    <row r="4" spans="2:16" x14ac:dyDescent="0.25">
      <c r="B4" s="55" t="s">
        <v>55</v>
      </c>
      <c r="C4" s="56">
        <f>+'SUB 5'!G21</f>
        <v>0.24496527777777771</v>
      </c>
      <c r="D4" s="52">
        <f t="shared" si="0"/>
        <v>0.97986111111111085</v>
      </c>
      <c r="F4" s="60"/>
    </row>
    <row r="5" spans="2:16" x14ac:dyDescent="0.25">
      <c r="B5" s="55" t="s">
        <v>54</v>
      </c>
      <c r="C5" s="56">
        <f>+'TTE 6 '!G21</f>
        <v>0.25104166666666666</v>
      </c>
      <c r="D5" s="52">
        <f t="shared" si="0"/>
        <v>1.0041666666666667</v>
      </c>
      <c r="F5" s="60"/>
    </row>
    <row r="6" spans="2:16" x14ac:dyDescent="0.25">
      <c r="B6" s="55" t="s">
        <v>58</v>
      </c>
      <c r="C6" s="56">
        <f>+DIABLO!G21</f>
        <v>0.24670138888888882</v>
      </c>
      <c r="D6" s="52">
        <f t="shared" si="0"/>
        <v>0.98680555555555527</v>
      </c>
      <c r="F6" s="60"/>
    </row>
    <row r="7" spans="2:16" x14ac:dyDescent="0.25">
      <c r="B7" s="55" t="s">
        <v>57</v>
      </c>
      <c r="C7" s="56">
        <f>+'PIPA N'!G21</f>
        <v>0.24496527777777785</v>
      </c>
      <c r="D7" s="52">
        <f t="shared" si="0"/>
        <v>0.9798611111111114</v>
      </c>
      <c r="F7" s="60"/>
    </row>
    <row r="8" spans="2:16" x14ac:dyDescent="0.25">
      <c r="B8" s="55" t="s">
        <v>66</v>
      </c>
      <c r="C8" s="56">
        <f>+'CH colon'!G21</f>
        <v>0.26597222222222228</v>
      </c>
      <c r="D8" s="52">
        <f t="shared" si="0"/>
        <v>1.0638888888888891</v>
      </c>
      <c r="F8" s="60"/>
    </row>
    <row r="9" spans="2:16" x14ac:dyDescent="0.25">
      <c r="B9" s="55" t="s">
        <v>92</v>
      </c>
      <c r="C9" s="56">
        <f>+Salvataje!G21</f>
        <v>0.25486111111111104</v>
      </c>
      <c r="D9" s="52">
        <f t="shared" si="0"/>
        <v>1.0194444444444442</v>
      </c>
      <c r="F9" s="60"/>
    </row>
    <row r="10" spans="2:16" x14ac:dyDescent="0.25">
      <c r="B10" s="55" t="s">
        <v>64</v>
      </c>
      <c r="C10" s="56">
        <f>+'La junta'!G21</f>
        <v>0.28750000000000003</v>
      </c>
      <c r="D10" s="52">
        <f>+C10/$C$19</f>
        <v>0.98571428571428577</v>
      </c>
      <c r="F10" s="60"/>
    </row>
    <row r="11" spans="2:16" x14ac:dyDescent="0.25">
      <c r="B11" s="55" t="s">
        <v>62</v>
      </c>
      <c r="C11" s="56">
        <f>+AC!G21</f>
        <v>0.26059027777777777</v>
      </c>
      <c r="D11" s="52">
        <f>+C11/$C$17</f>
        <v>1.0423611111111111</v>
      </c>
      <c r="F11" s="60"/>
      <c r="P11" s="61"/>
    </row>
    <row r="12" spans="2:16" x14ac:dyDescent="0.25">
      <c r="B12" s="55" t="s">
        <v>63</v>
      </c>
      <c r="C12" s="56">
        <f>+Colec!G21</f>
        <v>0.25815972222222233</v>
      </c>
      <c r="D12" s="52">
        <f>+C12/$C$17</f>
        <v>1.0326388888888893</v>
      </c>
      <c r="F12" s="60"/>
    </row>
    <row r="13" spans="2:16" x14ac:dyDescent="0.25">
      <c r="B13" s="55" t="s">
        <v>61</v>
      </c>
      <c r="C13" s="56">
        <f>+'P M'!G21</f>
        <v>0.24913194444444448</v>
      </c>
      <c r="D13" s="52">
        <f>+C13/$C$17</f>
        <v>0.9965277777777779</v>
      </c>
      <c r="F13" s="60"/>
    </row>
    <row r="14" spans="2:16" x14ac:dyDescent="0.25">
      <c r="B14" s="55" t="s">
        <v>60</v>
      </c>
      <c r="C14" s="56">
        <f>+'Vent '!G21</f>
        <v>0.25190972222222208</v>
      </c>
      <c r="D14" s="52">
        <f>+C14/$C$17</f>
        <v>1.0076388888888883</v>
      </c>
      <c r="F14" s="60"/>
    </row>
    <row r="15" spans="2:16" x14ac:dyDescent="0.25">
      <c r="B15" s="55" t="s">
        <v>59</v>
      </c>
      <c r="C15" s="56">
        <f>+ACCU!G21</f>
        <v>0.43999999999999984</v>
      </c>
      <c r="D15" s="52">
        <f>+C15/$C$18</f>
        <v>1.0386885245901636</v>
      </c>
      <c r="F15" s="60"/>
    </row>
    <row r="16" spans="2:16" x14ac:dyDescent="0.25">
      <c r="B16" s="55" t="s">
        <v>51</v>
      </c>
      <c r="C16" s="56">
        <f>AVERAGE(C2:C15)</f>
        <v>0.26753968253968252</v>
      </c>
    </row>
    <row r="17" spans="2:4" x14ac:dyDescent="0.25">
      <c r="B17" s="55" t="s">
        <v>52</v>
      </c>
      <c r="C17" s="56">
        <v>0.25</v>
      </c>
      <c r="D17" s="41">
        <f>+AVERAGE(D2:D16)</f>
        <v>1.0069017880376194</v>
      </c>
    </row>
    <row r="18" spans="2:4" x14ac:dyDescent="0.25">
      <c r="B18" s="55" t="s">
        <v>75</v>
      </c>
      <c r="C18" s="56">
        <v>0.4236111111111111</v>
      </c>
    </row>
    <row r="19" spans="2:4" ht="16.5" thickBot="1" x14ac:dyDescent="0.3">
      <c r="B19" s="57" t="s">
        <v>76</v>
      </c>
      <c r="C19" s="58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I11" sqref="I11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6.5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7.25" thickTop="1" thickBot="1" x14ac:dyDescent="0.3">
      <c r="A4" s="68" t="s">
        <v>106</v>
      </c>
      <c r="B4" s="172">
        <f>+'TTE 6 '!C3</f>
        <v>44928</v>
      </c>
      <c r="C4" s="173"/>
      <c r="D4" s="173"/>
      <c r="E4" s="174">
        <f>+'TTE 6 '!C4</f>
        <v>44929</v>
      </c>
      <c r="F4" s="175"/>
      <c r="G4" s="175"/>
      <c r="H4" s="176">
        <f>+'TTE 6 '!C5</f>
        <v>44930</v>
      </c>
      <c r="I4" s="177"/>
      <c r="J4" s="178"/>
      <c r="K4" s="174">
        <f>+'TTE 6 '!C6</f>
        <v>44931</v>
      </c>
      <c r="L4" s="175"/>
      <c r="M4" s="175"/>
      <c r="N4" s="176">
        <f>+'TTE 6 '!C7</f>
        <v>44932</v>
      </c>
      <c r="O4" s="177"/>
      <c r="P4" s="178"/>
      <c r="Q4" s="174">
        <f>+'TTE 6 '!C8</f>
        <v>44933</v>
      </c>
      <c r="R4" s="175"/>
      <c r="S4" s="175"/>
      <c r="T4" s="176">
        <f>+'TTE 6 '!C9</f>
        <v>44934</v>
      </c>
      <c r="U4" s="177"/>
      <c r="V4" s="181"/>
      <c r="W4" s="182" t="s">
        <v>107</v>
      </c>
      <c r="X4" s="183"/>
      <c r="Y4" s="184"/>
    </row>
    <row r="5" spans="1:25" ht="16.5" thickBot="1" x14ac:dyDescent="0.3">
      <c r="A5" s="69"/>
      <c r="B5" s="125" t="s">
        <v>108</v>
      </c>
      <c r="C5" s="126" t="s">
        <v>103</v>
      </c>
      <c r="D5" s="127" t="s">
        <v>104</v>
      </c>
      <c r="E5" s="70" t="s">
        <v>108</v>
      </c>
      <c r="F5" s="71" t="s">
        <v>103</v>
      </c>
      <c r="G5" s="72" t="s">
        <v>104</v>
      </c>
      <c r="H5" s="70" t="s">
        <v>108</v>
      </c>
      <c r="I5" s="71" t="s">
        <v>103</v>
      </c>
      <c r="J5" s="72" t="s">
        <v>104</v>
      </c>
      <c r="K5" s="70" t="s">
        <v>108</v>
      </c>
      <c r="L5" s="71" t="s">
        <v>103</v>
      </c>
      <c r="M5" s="72" t="s">
        <v>104</v>
      </c>
      <c r="N5" s="70" t="s">
        <v>108</v>
      </c>
      <c r="O5" s="71" t="s">
        <v>103</v>
      </c>
      <c r="P5" s="72" t="s">
        <v>104</v>
      </c>
      <c r="Q5" s="70" t="s">
        <v>108</v>
      </c>
      <c r="R5" s="71" t="s">
        <v>103</v>
      </c>
      <c r="S5" s="72" t="s">
        <v>104</v>
      </c>
      <c r="T5" s="70" t="s">
        <v>108</v>
      </c>
      <c r="U5" s="71" t="s">
        <v>103</v>
      </c>
      <c r="V5" s="73" t="s">
        <v>104</v>
      </c>
      <c r="W5" s="74" t="s">
        <v>108</v>
      </c>
      <c r="X5" s="71" t="s">
        <v>103</v>
      </c>
      <c r="Y5" s="75" t="s">
        <v>104</v>
      </c>
    </row>
    <row r="6" spans="1:25" ht="16.5" thickBot="1" x14ac:dyDescent="0.3">
      <c r="A6" s="76" t="s">
        <v>109</v>
      </c>
      <c r="B6" s="169" t="s">
        <v>110</v>
      </c>
      <c r="C6" s="170"/>
      <c r="D6" s="171"/>
      <c r="E6" s="169" t="s">
        <v>110</v>
      </c>
      <c r="F6" s="170"/>
      <c r="G6" s="171"/>
      <c r="H6" s="169" t="s">
        <v>110</v>
      </c>
      <c r="I6" s="170"/>
      <c r="J6" s="171"/>
      <c r="K6" s="169" t="s">
        <v>110</v>
      </c>
      <c r="L6" s="170"/>
      <c r="M6" s="171"/>
      <c r="N6" s="169" t="s">
        <v>110</v>
      </c>
      <c r="O6" s="170"/>
      <c r="P6" s="171"/>
      <c r="Q6" s="169" t="s">
        <v>110</v>
      </c>
      <c r="R6" s="170"/>
      <c r="S6" s="171"/>
      <c r="T6" s="169" t="s">
        <v>110</v>
      </c>
      <c r="U6" s="170"/>
      <c r="V6" s="170"/>
      <c r="W6" s="179" t="s">
        <v>110</v>
      </c>
      <c r="X6" s="170"/>
      <c r="Y6" s="180"/>
    </row>
    <row r="7" spans="1:25" x14ac:dyDescent="0.25">
      <c r="A7" s="77" t="s">
        <v>111</v>
      </c>
      <c r="B7" s="98"/>
      <c r="C7" s="99">
        <f>+'TTE 7'!D3</f>
        <v>0</v>
      </c>
      <c r="D7" s="99"/>
      <c r="E7" s="78"/>
      <c r="F7" s="124">
        <f>+'TTE 7'!D4</f>
        <v>0.33680555555555558</v>
      </c>
      <c r="G7" s="124"/>
      <c r="H7" s="78"/>
      <c r="I7" s="124">
        <f>+'TTE 7'!D5</f>
        <v>0.33680555555555558</v>
      </c>
      <c r="J7" s="124"/>
      <c r="K7" s="78"/>
      <c r="L7" s="124">
        <f>+'TTE 7'!D6</f>
        <v>0.33680555555555558</v>
      </c>
      <c r="M7" s="124"/>
      <c r="N7" s="78"/>
      <c r="O7" s="124">
        <f>+'TTE 7'!D7</f>
        <v>0.33680555555555558</v>
      </c>
      <c r="P7" s="124"/>
      <c r="Q7" s="78"/>
      <c r="R7" s="81"/>
      <c r="S7" s="82"/>
      <c r="T7" s="78"/>
      <c r="U7" s="81"/>
      <c r="V7" s="83"/>
      <c r="W7" s="84" t="str">
        <f>IFERROR(AVERAGE(B7,E7,H7,K7,N7,Q7,T7),"")</f>
        <v/>
      </c>
      <c r="X7" s="85">
        <f>IFERROR(AVERAGE(C7,F7,I7,L7,O7,R7,U7),"")</f>
        <v>0.26944444444444449</v>
      </c>
      <c r="Y7" s="85" t="str">
        <f>IFERROR(AVERAGE(D7,G7,J7,M7,P7,S7,V7),"")</f>
        <v/>
      </c>
    </row>
    <row r="8" spans="1:25" x14ac:dyDescent="0.25">
      <c r="A8" s="77" t="s">
        <v>112</v>
      </c>
      <c r="B8" s="98"/>
      <c r="C8" s="99">
        <f>+'TTE 7'!J3</f>
        <v>0</v>
      </c>
      <c r="D8" s="99"/>
      <c r="E8" s="78"/>
      <c r="F8" s="79">
        <f>+'TTE 7'!J4</f>
        <v>0.65972222222222221</v>
      </c>
      <c r="G8" s="79"/>
      <c r="H8" s="78"/>
      <c r="I8" s="79">
        <f>+'TTE 7'!J5</f>
        <v>0.65972222222222221</v>
      </c>
      <c r="J8" s="79"/>
      <c r="K8" s="78"/>
      <c r="L8" s="79">
        <f>+'TTE 7'!J6</f>
        <v>0.65972222222222221</v>
      </c>
      <c r="M8" s="79"/>
      <c r="N8" s="78"/>
      <c r="O8" s="79">
        <f>+'TTE 7'!J7</f>
        <v>0.65972222222222221</v>
      </c>
      <c r="P8" s="79"/>
      <c r="Q8" s="78"/>
      <c r="R8" s="81"/>
      <c r="S8" s="82"/>
      <c r="T8" s="78"/>
      <c r="U8" s="81"/>
      <c r="V8" s="83"/>
      <c r="W8" s="87" t="str">
        <f>IFERROR(AVERAGE(B8,E8,H8,K8,N8,Q8,T8),"")</f>
        <v/>
      </c>
      <c r="X8" s="88">
        <f t="shared" ref="X8:Y9" si="0">IFERROR(AVERAGE(C8,F8,I8,L8,O8,R8,U8),"")</f>
        <v>0.52777777777777779</v>
      </c>
      <c r="Y8" s="88" t="str">
        <f t="shared" si="0"/>
        <v/>
      </c>
    </row>
    <row r="9" spans="1:25" ht="16.5" thickBot="1" x14ac:dyDescent="0.3">
      <c r="A9" s="90" t="s">
        <v>113</v>
      </c>
      <c r="B9" s="108"/>
      <c r="C9" s="100">
        <f>+'TTE 7'!G16</f>
        <v>0</v>
      </c>
      <c r="D9" s="100"/>
      <c r="E9" s="91"/>
      <c r="F9" s="120">
        <f>+'TTE 7'!G17</f>
        <v>0.24305555555555558</v>
      </c>
      <c r="G9" s="120"/>
      <c r="H9" s="91"/>
      <c r="I9" s="120">
        <f>+'TTE 7'!G18</f>
        <v>0.25694444444444448</v>
      </c>
      <c r="J9" s="120"/>
      <c r="K9" s="91"/>
      <c r="L9" s="120">
        <f>+'TTE 7'!G19</f>
        <v>0.24444444444444435</v>
      </c>
      <c r="M9" s="120"/>
      <c r="N9" s="91"/>
      <c r="O9" s="120">
        <f>+'TTE 7'!G20</f>
        <v>0.24305555555555558</v>
      </c>
      <c r="P9" s="120"/>
      <c r="Q9" s="91"/>
      <c r="R9" s="92"/>
      <c r="S9" s="93"/>
      <c r="T9" s="91"/>
      <c r="U9" s="92"/>
      <c r="V9" s="94"/>
      <c r="W9" s="95" t="str">
        <f>IFERROR(AVERAGE(B9,E9,H9,K9,N9,Q9,T9),"")</f>
        <v/>
      </c>
      <c r="X9" s="96">
        <f t="shared" si="0"/>
        <v>0.19749999999999998</v>
      </c>
      <c r="Y9" s="96" t="str">
        <f t="shared" si="0"/>
        <v/>
      </c>
    </row>
    <row r="10" spans="1:25" ht="16.5" thickBot="1" x14ac:dyDescent="0.3">
      <c r="A10" s="76" t="s">
        <v>114</v>
      </c>
      <c r="B10" s="166" t="s">
        <v>110</v>
      </c>
      <c r="C10" s="167"/>
      <c r="D10" s="168"/>
      <c r="E10" s="169" t="s">
        <v>110</v>
      </c>
      <c r="F10" s="170"/>
      <c r="G10" s="171"/>
      <c r="H10" s="169" t="s">
        <v>110</v>
      </c>
      <c r="I10" s="170"/>
      <c r="J10" s="171"/>
      <c r="K10" s="169" t="s">
        <v>110</v>
      </c>
      <c r="L10" s="170"/>
      <c r="M10" s="171"/>
      <c r="N10" s="169" t="s">
        <v>110</v>
      </c>
      <c r="O10" s="170"/>
      <c r="P10" s="171"/>
      <c r="Q10" s="169" t="s">
        <v>110</v>
      </c>
      <c r="R10" s="170"/>
      <c r="S10" s="171"/>
      <c r="T10" s="169" t="s">
        <v>110</v>
      </c>
      <c r="U10" s="170"/>
      <c r="V10" s="170"/>
      <c r="W10" s="179" t="s">
        <v>110</v>
      </c>
      <c r="X10" s="170"/>
      <c r="Y10" s="180"/>
    </row>
    <row r="11" spans="1:25" x14ac:dyDescent="0.25">
      <c r="A11" s="77" t="s">
        <v>111</v>
      </c>
      <c r="B11" s="98"/>
      <c r="C11" s="99"/>
      <c r="D11" s="99">
        <f>+'SUB 6'!D3</f>
        <v>0</v>
      </c>
      <c r="E11" s="78"/>
      <c r="F11" s="79"/>
      <c r="G11" s="79">
        <f>+'SUB 6'!D4</f>
        <v>0.67361111111111116</v>
      </c>
      <c r="H11" s="78"/>
      <c r="I11" s="79"/>
      <c r="J11" s="79">
        <f>+'SUB 6'!D5</f>
        <v>0.67361111111111116</v>
      </c>
      <c r="K11" s="78"/>
      <c r="L11" s="79"/>
      <c r="M11" s="79">
        <f>+'SUB 6'!D6</f>
        <v>0.67361111111111116</v>
      </c>
      <c r="N11" s="78"/>
      <c r="O11" s="79"/>
      <c r="P11" s="79">
        <f>+'SUB 6'!D7</f>
        <v>0.67361111111111116</v>
      </c>
      <c r="Q11" s="78"/>
      <c r="R11" s="81"/>
      <c r="S11" s="82"/>
      <c r="T11" s="78"/>
      <c r="U11" s="81"/>
      <c r="V11" s="83"/>
      <c r="W11" s="84" t="str">
        <f>IFERROR(AVERAGE(B11,E11,H11,K11,N11,Q11,T11),"")</f>
        <v/>
      </c>
      <c r="X11" s="85" t="str">
        <f>IFERROR(AVERAGE(C11,F11,I11,L11,O11,R11,U11),"")</f>
        <v/>
      </c>
      <c r="Y11" s="132">
        <f>IFERROR(AVERAGE(D11,G11,J11,M11,P11,S11,V11),"")</f>
        <v>0.53888888888888897</v>
      </c>
    </row>
    <row r="12" spans="1:25" x14ac:dyDescent="0.25">
      <c r="A12" s="77" t="s">
        <v>112</v>
      </c>
      <c r="B12" s="98"/>
      <c r="C12" s="99"/>
      <c r="D12" s="99">
        <f>+'SUB 6'!J3</f>
        <v>0</v>
      </c>
      <c r="E12" s="78"/>
      <c r="F12" s="79"/>
      <c r="G12" s="79">
        <f>+'SUB 6'!J4</f>
        <v>0.99305555555555547</v>
      </c>
      <c r="H12" s="78"/>
      <c r="I12" s="79"/>
      <c r="J12" s="79">
        <f>+'SUB 6'!J5</f>
        <v>0.99305555555555547</v>
      </c>
      <c r="K12" s="78"/>
      <c r="L12" s="79"/>
      <c r="M12" s="79">
        <f>+'SUB 6'!J6</f>
        <v>0.99305555555555547</v>
      </c>
      <c r="N12" s="78"/>
      <c r="O12" s="79"/>
      <c r="P12" s="79">
        <f>+'SUB 6'!J7</f>
        <v>0.99305555555555547</v>
      </c>
      <c r="Q12" s="78"/>
      <c r="R12" s="81"/>
      <c r="S12" s="82"/>
      <c r="T12" s="78"/>
      <c r="U12" s="81"/>
      <c r="V12" s="83"/>
      <c r="W12" s="87" t="str">
        <f>IFERROR(AVERAGE(B12,E12,H12,K12,N12,Q12,T12),"")</f>
        <v/>
      </c>
      <c r="X12" s="88" t="str">
        <f t="shared" ref="X12:Y13" si="1">IFERROR(AVERAGE(C12,F12,I12,L12,O12,R12,U12),"")</f>
        <v/>
      </c>
      <c r="Y12" s="133">
        <f t="shared" si="1"/>
        <v>0.7944444444444444</v>
      </c>
    </row>
    <row r="13" spans="1:25" ht="16.5" thickBot="1" x14ac:dyDescent="0.3">
      <c r="A13" s="90" t="s">
        <v>113</v>
      </c>
      <c r="B13" s="108"/>
      <c r="C13" s="99"/>
      <c r="D13" s="99">
        <f>+'SUB 6'!G16</f>
        <v>0</v>
      </c>
      <c r="E13" s="91"/>
      <c r="F13" s="79"/>
      <c r="G13" s="79">
        <f>+'SUB 6'!G17</f>
        <v>0.25069444444444455</v>
      </c>
      <c r="H13" s="91"/>
      <c r="I13" s="79"/>
      <c r="J13" s="79">
        <f>+'SUB 6'!G18</f>
        <v>0.2416666666666667</v>
      </c>
      <c r="K13" s="91"/>
      <c r="L13" s="79"/>
      <c r="M13" s="79">
        <f>+'SUB 6'!G19</f>
        <v>0.23958333333333326</v>
      </c>
      <c r="N13" s="91"/>
      <c r="O13" s="79"/>
      <c r="P13" s="79">
        <f>+'SUB 6'!G20</f>
        <v>0.23958333333333326</v>
      </c>
      <c r="Q13" s="91"/>
      <c r="R13" s="92"/>
      <c r="S13" s="93"/>
      <c r="T13" s="91"/>
      <c r="U13" s="92"/>
      <c r="V13" s="94"/>
      <c r="W13" s="95" t="str">
        <f>IFERROR(AVERAGE(B13,E13,H13,K13,N13,Q13,T13),"")</f>
        <v/>
      </c>
      <c r="X13" s="96" t="str">
        <f t="shared" si="1"/>
        <v/>
      </c>
      <c r="Y13" s="134">
        <f t="shared" si="1"/>
        <v>0.19430555555555556</v>
      </c>
    </row>
    <row r="14" spans="1:25" ht="16.5" thickBot="1" x14ac:dyDescent="0.3">
      <c r="A14" s="76" t="s">
        <v>115</v>
      </c>
      <c r="B14" s="166" t="s">
        <v>110</v>
      </c>
      <c r="C14" s="167"/>
      <c r="D14" s="168"/>
      <c r="E14" s="169" t="s">
        <v>110</v>
      </c>
      <c r="F14" s="170"/>
      <c r="G14" s="171"/>
      <c r="H14" s="169" t="s">
        <v>110</v>
      </c>
      <c r="I14" s="170"/>
      <c r="J14" s="171"/>
      <c r="K14" s="169" t="s">
        <v>110</v>
      </c>
      <c r="L14" s="170"/>
      <c r="M14" s="171"/>
      <c r="N14" s="169" t="s">
        <v>110</v>
      </c>
      <c r="O14" s="170"/>
      <c r="P14" s="171"/>
      <c r="Q14" s="169" t="s">
        <v>110</v>
      </c>
      <c r="R14" s="170"/>
      <c r="S14" s="171"/>
      <c r="T14" s="169" t="s">
        <v>110</v>
      </c>
      <c r="U14" s="170"/>
      <c r="V14" s="170"/>
      <c r="W14" s="179" t="s">
        <v>110</v>
      </c>
      <c r="X14" s="170"/>
      <c r="Y14" s="180"/>
    </row>
    <row r="15" spans="1:25" x14ac:dyDescent="0.25">
      <c r="A15" s="77" t="s">
        <v>111</v>
      </c>
      <c r="B15" s="98"/>
      <c r="C15" s="100">
        <f>+'SUB 5'!D3</f>
        <v>0</v>
      </c>
      <c r="D15" s="100"/>
      <c r="E15" s="98"/>
      <c r="F15" s="99">
        <f>+'SUB 5'!D4</f>
        <v>0.33888888888888885</v>
      </c>
      <c r="G15" s="99"/>
      <c r="H15" s="98"/>
      <c r="I15" s="99">
        <f>+'SUB 5'!D5</f>
        <v>0.34027777777777773</v>
      </c>
      <c r="J15" s="99"/>
      <c r="K15" s="98"/>
      <c r="L15" s="99">
        <f>+'SUB 5'!D6</f>
        <v>0.34375</v>
      </c>
      <c r="M15" s="99"/>
      <c r="N15" s="98"/>
      <c r="O15" s="99">
        <f>+'SUB 5'!D7</f>
        <v>0.34375</v>
      </c>
      <c r="P15" s="99"/>
      <c r="Q15" s="98"/>
      <c r="R15" s="101"/>
      <c r="S15" s="102"/>
      <c r="T15" s="98"/>
      <c r="U15" s="101"/>
      <c r="V15" s="103"/>
      <c r="W15" s="104" t="str">
        <f>IFERROR(AVERAGE(B15,E15,H15,K15,N15,Q15,T15),"")</f>
        <v/>
      </c>
      <c r="X15" s="105">
        <f t="shared" ref="X15:Y17" si="2">IFERROR(AVERAGE(C15,F15,I15,L15,O15,R15,U15),"")</f>
        <v>0.27333333333333332</v>
      </c>
      <c r="Y15" s="129" t="str">
        <f t="shared" si="2"/>
        <v/>
      </c>
    </row>
    <row r="16" spans="1:25" x14ac:dyDescent="0.25">
      <c r="A16" s="77" t="s">
        <v>112</v>
      </c>
      <c r="B16" s="98"/>
      <c r="C16" s="100">
        <f>+'SUB 5'!J3</f>
        <v>0</v>
      </c>
      <c r="D16" s="100"/>
      <c r="E16" s="98"/>
      <c r="F16" s="99">
        <f>+'SUB 5'!J4</f>
        <v>0.66319444444444442</v>
      </c>
      <c r="G16" s="99"/>
      <c r="H16" s="98"/>
      <c r="I16" s="99">
        <f>+'SUB 5'!J5</f>
        <v>0.66319444444444442</v>
      </c>
      <c r="J16" s="99"/>
      <c r="K16" s="98"/>
      <c r="L16" s="99">
        <f>+'SUB 5'!J6</f>
        <v>0.66319444444444442</v>
      </c>
      <c r="M16" s="99"/>
      <c r="N16" s="98"/>
      <c r="O16" s="99">
        <f>+'SUB 5'!J7</f>
        <v>0.66319444444444442</v>
      </c>
      <c r="P16" s="99"/>
      <c r="Q16" s="98"/>
      <c r="R16" s="101"/>
      <c r="S16" s="102"/>
      <c r="T16" s="98"/>
      <c r="U16" s="101"/>
      <c r="V16" s="103"/>
      <c r="W16" s="106" t="str">
        <f>IFERROR(AVERAGE(B16,E16,H16,K16,N16,Q16,T16),"")</f>
        <v/>
      </c>
      <c r="X16" s="107">
        <f t="shared" si="2"/>
        <v>0.53055555555555556</v>
      </c>
      <c r="Y16" s="130" t="str">
        <f t="shared" si="2"/>
        <v/>
      </c>
    </row>
    <row r="17" spans="1:25" ht="16.5" thickBot="1" x14ac:dyDescent="0.3">
      <c r="A17" s="90" t="s">
        <v>113</v>
      </c>
      <c r="B17" s="108"/>
      <c r="C17" s="100">
        <f>+'SUB 5'!G16</f>
        <v>0</v>
      </c>
      <c r="D17" s="100"/>
      <c r="E17" s="108"/>
      <c r="F17" s="99">
        <f>+'SUB 5'!G17</f>
        <v>0.24236111111111103</v>
      </c>
      <c r="G17" s="99"/>
      <c r="H17" s="108"/>
      <c r="I17" s="99">
        <f>+'SUB 5'!G18</f>
        <v>0.24722222222222218</v>
      </c>
      <c r="J17" s="99"/>
      <c r="K17" s="108"/>
      <c r="L17" s="99">
        <f>+'SUB 5'!G19</f>
        <v>0.24652777777777768</v>
      </c>
      <c r="M17" s="99"/>
      <c r="N17" s="108"/>
      <c r="O17" s="99">
        <f>+'SUB 5'!G20</f>
        <v>0.24374999999999997</v>
      </c>
      <c r="P17" s="99"/>
      <c r="Q17" s="108"/>
      <c r="R17" s="110"/>
      <c r="S17" s="111"/>
      <c r="T17" s="108"/>
      <c r="U17" s="110"/>
      <c r="V17" s="112"/>
      <c r="W17" s="113" t="str">
        <f>IFERROR(AVERAGE(B17,E17,H17,K17,N17,Q17,T17),"")</f>
        <v/>
      </c>
      <c r="X17" s="114">
        <f t="shared" si="2"/>
        <v>0.19597222222222216</v>
      </c>
      <c r="Y17" s="131" t="str">
        <f t="shared" si="2"/>
        <v/>
      </c>
    </row>
    <row r="18" spans="1:25" ht="16.5" thickBot="1" x14ac:dyDescent="0.3">
      <c r="A18" s="76" t="s">
        <v>116</v>
      </c>
      <c r="B18" s="166" t="s">
        <v>110</v>
      </c>
      <c r="C18" s="167"/>
      <c r="D18" s="168"/>
      <c r="E18" s="169" t="s">
        <v>110</v>
      </c>
      <c r="F18" s="170"/>
      <c r="G18" s="171"/>
      <c r="H18" s="169" t="s">
        <v>110</v>
      </c>
      <c r="I18" s="170"/>
      <c r="J18" s="171"/>
      <c r="K18" s="169" t="s">
        <v>110</v>
      </c>
      <c r="L18" s="170"/>
      <c r="M18" s="171"/>
      <c r="N18" s="169" t="s">
        <v>110</v>
      </c>
      <c r="O18" s="170"/>
      <c r="P18" s="171"/>
      <c r="Q18" s="169" t="s">
        <v>110</v>
      </c>
      <c r="R18" s="170"/>
      <c r="S18" s="171"/>
      <c r="T18" s="169" t="s">
        <v>110</v>
      </c>
      <c r="U18" s="170"/>
      <c r="V18" s="170"/>
      <c r="W18" s="179" t="s">
        <v>110</v>
      </c>
      <c r="X18" s="170"/>
      <c r="Y18" s="180"/>
    </row>
    <row r="19" spans="1:25" x14ac:dyDescent="0.25">
      <c r="A19" s="77" t="s">
        <v>111</v>
      </c>
      <c r="B19" s="98"/>
      <c r="C19" s="99">
        <f>+'TTE 6 '!D3</f>
        <v>0</v>
      </c>
      <c r="D19" s="102"/>
      <c r="E19" s="78"/>
      <c r="F19" s="79">
        <f>+'TTE 6 '!D4</f>
        <v>0.33680555555555558</v>
      </c>
      <c r="G19" s="82"/>
      <c r="H19" s="78"/>
      <c r="I19" s="79">
        <f>+'TTE 6 '!D5</f>
        <v>0.33680555555555558</v>
      </c>
      <c r="J19" s="82"/>
      <c r="K19" s="78"/>
      <c r="L19" s="79">
        <f>+'TTE 6 '!D6</f>
        <v>0.33333333333333331</v>
      </c>
      <c r="M19" s="82"/>
      <c r="N19" s="78"/>
      <c r="O19" s="79">
        <f>+'TTE 6 '!D7</f>
        <v>0.33680555555555558</v>
      </c>
      <c r="P19" s="82"/>
      <c r="Q19" s="78"/>
      <c r="R19" s="81"/>
      <c r="S19" s="82"/>
      <c r="T19" s="78"/>
      <c r="U19" s="81"/>
      <c r="V19" s="83"/>
      <c r="W19" s="84" t="str">
        <f>IFERROR(AVERAGE(B19,E19,H19,K19,N19,Q19,T19),"")</f>
        <v/>
      </c>
      <c r="X19" s="85">
        <f t="shared" ref="X19:Y21" si="3">IFERROR(AVERAGE(C19,F19,I19,L19,O19,R19,U19),"")</f>
        <v>0.26874999999999999</v>
      </c>
      <c r="Y19" s="86" t="str">
        <f t="shared" si="3"/>
        <v/>
      </c>
    </row>
    <row r="20" spans="1:25" x14ac:dyDescent="0.25">
      <c r="A20" s="77" t="s">
        <v>112</v>
      </c>
      <c r="B20" s="98"/>
      <c r="C20" s="99">
        <f>+'TTE 6 '!J3</f>
        <v>0</v>
      </c>
      <c r="D20" s="102"/>
      <c r="E20" s="78"/>
      <c r="F20" s="79">
        <f>+'TTE 6 '!J4</f>
        <v>0.65625</v>
      </c>
      <c r="G20" s="82"/>
      <c r="H20" s="78"/>
      <c r="I20" s="79">
        <f>+'TTE 6 '!J5</f>
        <v>0.65972222222222199</v>
      </c>
      <c r="J20" s="82"/>
      <c r="K20" s="78"/>
      <c r="L20" s="79">
        <f>+'TTE 6 '!J6</f>
        <v>0.65972222222222221</v>
      </c>
      <c r="M20" s="82"/>
      <c r="N20" s="78"/>
      <c r="O20" s="79">
        <f>+'TTE 6 '!J7</f>
        <v>0.65972222222222221</v>
      </c>
      <c r="P20" s="82"/>
      <c r="Q20" s="78"/>
      <c r="R20" s="81"/>
      <c r="S20" s="82"/>
      <c r="T20" s="78"/>
      <c r="U20" s="81"/>
      <c r="V20" s="83"/>
      <c r="W20" s="87" t="str">
        <f>IFERROR(AVERAGE(B20,E20,H20,K20,N20,Q20,T20),"")</f>
        <v/>
      </c>
      <c r="X20" s="88">
        <f t="shared" si="3"/>
        <v>0.52708333333333335</v>
      </c>
      <c r="Y20" s="89" t="str">
        <f t="shared" si="3"/>
        <v/>
      </c>
    </row>
    <row r="21" spans="1:25" ht="16.5" thickBot="1" x14ac:dyDescent="0.3">
      <c r="A21" s="90" t="s">
        <v>113</v>
      </c>
      <c r="B21" s="108"/>
      <c r="C21" s="99">
        <f>+'TTE 6 '!G16</f>
        <v>0</v>
      </c>
      <c r="D21" s="111"/>
      <c r="E21" s="91"/>
      <c r="F21" s="79">
        <f>+'TTE 6 '!G17</f>
        <v>0.26111111111111118</v>
      </c>
      <c r="G21" s="93"/>
      <c r="H21" s="91"/>
      <c r="I21" s="79">
        <f>+'TTE 6 '!G18</f>
        <v>0.25347222222222193</v>
      </c>
      <c r="J21" s="93"/>
      <c r="K21" s="91"/>
      <c r="L21" s="79">
        <f>+'TTE 6 '!G19</f>
        <v>0.25208333333333338</v>
      </c>
      <c r="M21" s="93"/>
      <c r="N21" s="91"/>
      <c r="O21" s="79">
        <f>+'TTE 6 '!G20</f>
        <v>0.23749999999999999</v>
      </c>
      <c r="P21" s="93"/>
      <c r="Q21" s="91"/>
      <c r="R21" s="92"/>
      <c r="S21" s="93"/>
      <c r="T21" s="91"/>
      <c r="U21" s="92"/>
      <c r="V21" s="94"/>
      <c r="W21" s="95" t="str">
        <f>IFERROR(AVERAGE(B21,E21,H21,K21,N21,Q21,T21),"")</f>
        <v/>
      </c>
      <c r="X21" s="96">
        <f t="shared" si="3"/>
        <v>0.20083333333333334</v>
      </c>
      <c r="Y21" s="97" t="str">
        <f t="shared" si="3"/>
        <v/>
      </c>
    </row>
    <row r="22" spans="1:25" ht="16.5" thickBot="1" x14ac:dyDescent="0.3">
      <c r="A22" s="76" t="s">
        <v>117</v>
      </c>
      <c r="B22" s="166" t="s">
        <v>110</v>
      </c>
      <c r="C22" s="167"/>
      <c r="D22" s="168"/>
      <c r="E22" s="169" t="s">
        <v>110</v>
      </c>
      <c r="F22" s="170"/>
      <c r="G22" s="171"/>
      <c r="H22" s="169" t="s">
        <v>110</v>
      </c>
      <c r="I22" s="170"/>
      <c r="J22" s="171"/>
      <c r="K22" s="169" t="s">
        <v>110</v>
      </c>
      <c r="L22" s="170"/>
      <c r="M22" s="171"/>
      <c r="N22" s="169" t="s">
        <v>110</v>
      </c>
      <c r="O22" s="170"/>
      <c r="P22" s="171"/>
      <c r="Q22" s="169" t="s">
        <v>110</v>
      </c>
      <c r="R22" s="170"/>
      <c r="S22" s="171"/>
      <c r="T22" s="169" t="s">
        <v>110</v>
      </c>
      <c r="U22" s="170"/>
      <c r="V22" s="170"/>
      <c r="W22" s="179" t="s">
        <v>110</v>
      </c>
      <c r="X22" s="170"/>
      <c r="Y22" s="180"/>
    </row>
    <row r="23" spans="1:25" x14ac:dyDescent="0.25">
      <c r="A23" s="77" t="s">
        <v>111</v>
      </c>
      <c r="B23" s="98"/>
      <c r="C23" s="99"/>
      <c r="D23" s="99">
        <f>+DIABLO!D3</f>
        <v>0</v>
      </c>
      <c r="E23" s="78"/>
      <c r="F23" s="79"/>
      <c r="G23" s="79">
        <f>+DIABLO!D4</f>
        <v>0.67361111111111116</v>
      </c>
      <c r="H23" s="78"/>
      <c r="I23" s="79"/>
      <c r="J23" s="79">
        <f>+DIABLO!D5</f>
        <v>0.67361111111111116</v>
      </c>
      <c r="K23" s="78"/>
      <c r="L23" s="79"/>
      <c r="M23" s="79">
        <f>+DIABLO!D6</f>
        <v>0.67361111111111116</v>
      </c>
      <c r="N23" s="78"/>
      <c r="O23" s="79"/>
      <c r="P23" s="79">
        <f>+DIABLO!D7</f>
        <v>0.67361111111111116</v>
      </c>
      <c r="Q23" s="78"/>
      <c r="R23" s="81"/>
      <c r="S23" s="82"/>
      <c r="T23" s="78"/>
      <c r="U23" s="81"/>
      <c r="V23" s="83"/>
      <c r="W23" s="84" t="str">
        <f t="shared" ref="W23:X25" si="4">IFERROR(AVERAGE(B23,E23,H23,K23,N23,Q23,T23),"")</f>
        <v/>
      </c>
      <c r="X23" s="85" t="str">
        <f t="shared" si="4"/>
        <v/>
      </c>
      <c r="Y23" s="132">
        <f t="shared" ref="Y23:Y25" si="5">IFERROR(AVERAGE(D23,G23,J23,M23,P23,S23,V23),"")</f>
        <v>0.53888888888888897</v>
      </c>
    </row>
    <row r="24" spans="1:25" x14ac:dyDescent="0.25">
      <c r="A24" s="77" t="s">
        <v>112</v>
      </c>
      <c r="B24" s="98"/>
      <c r="C24" s="99"/>
      <c r="D24" s="99">
        <f>+DIABLO!J3</f>
        <v>0</v>
      </c>
      <c r="E24" s="78"/>
      <c r="F24" s="79"/>
      <c r="G24" s="79">
        <f>+DIABLO!J4</f>
        <v>0.99305555555555547</v>
      </c>
      <c r="H24" s="78"/>
      <c r="I24" s="79"/>
      <c r="J24" s="79">
        <f>+DIABLO!J5</f>
        <v>0.99305555555555547</v>
      </c>
      <c r="K24" s="78"/>
      <c r="L24" s="79"/>
      <c r="M24" s="79">
        <f>+DIABLO!J6</f>
        <v>0.99305555555555547</v>
      </c>
      <c r="N24" s="78"/>
      <c r="O24" s="79"/>
      <c r="P24" s="79">
        <f>+DIABLO!J7</f>
        <v>0.99305555555555547</v>
      </c>
      <c r="Q24" s="78"/>
      <c r="R24" s="81"/>
      <c r="S24" s="82"/>
      <c r="T24" s="78"/>
      <c r="U24" s="81"/>
      <c r="V24" s="83"/>
      <c r="W24" s="87" t="str">
        <f t="shared" si="4"/>
        <v/>
      </c>
      <c r="X24" s="88" t="str">
        <f t="shared" si="4"/>
        <v/>
      </c>
      <c r="Y24" s="133">
        <f t="shared" si="5"/>
        <v>0.7944444444444444</v>
      </c>
    </row>
    <row r="25" spans="1:25" ht="16.5" thickBot="1" x14ac:dyDescent="0.3">
      <c r="A25" s="90" t="s">
        <v>113</v>
      </c>
      <c r="B25" s="108"/>
      <c r="C25" s="99"/>
      <c r="D25" s="99">
        <f>+DIABLO!G16</f>
        <v>0</v>
      </c>
      <c r="E25" s="91"/>
      <c r="F25" s="79"/>
      <c r="G25" s="79">
        <f>+DIABLO!G17</f>
        <v>0.24999999999999989</v>
      </c>
      <c r="H25" s="91"/>
      <c r="I25" s="79"/>
      <c r="J25" s="79">
        <f>+DIABLO!G18</f>
        <v>0.25</v>
      </c>
      <c r="K25" s="91"/>
      <c r="L25" s="79"/>
      <c r="M25" s="79">
        <f>+DIABLO!G19</f>
        <v>0.2402777777777777</v>
      </c>
      <c r="N25" s="91"/>
      <c r="O25" s="79"/>
      <c r="P25" s="79">
        <f>+DIABLO!G20</f>
        <v>0.24652777777777768</v>
      </c>
      <c r="Q25" s="91"/>
      <c r="R25" s="92"/>
      <c r="S25" s="93"/>
      <c r="T25" s="91"/>
      <c r="U25" s="92"/>
      <c r="V25" s="94"/>
      <c r="W25" s="95" t="str">
        <f t="shared" si="4"/>
        <v/>
      </c>
      <c r="X25" s="96" t="str">
        <f t="shared" si="4"/>
        <v/>
      </c>
      <c r="Y25" s="134">
        <f t="shared" si="5"/>
        <v>0.19736111111111104</v>
      </c>
    </row>
    <row r="26" spans="1:25" ht="16.5" thickBot="1" x14ac:dyDescent="0.3">
      <c r="A26" s="76" t="s">
        <v>118</v>
      </c>
      <c r="B26" s="166" t="s">
        <v>110</v>
      </c>
      <c r="C26" s="167"/>
      <c r="D26" s="168"/>
      <c r="E26" s="169" t="s">
        <v>110</v>
      </c>
      <c r="F26" s="170"/>
      <c r="G26" s="171"/>
      <c r="H26" s="169" t="s">
        <v>110</v>
      </c>
      <c r="I26" s="170"/>
      <c r="J26" s="171"/>
      <c r="K26" s="169" t="s">
        <v>110</v>
      </c>
      <c r="L26" s="170"/>
      <c r="M26" s="171"/>
      <c r="N26" s="169" t="s">
        <v>110</v>
      </c>
      <c r="O26" s="170"/>
      <c r="P26" s="171"/>
      <c r="Q26" s="169" t="s">
        <v>110</v>
      </c>
      <c r="R26" s="170"/>
      <c r="S26" s="171"/>
      <c r="T26" s="169" t="s">
        <v>110</v>
      </c>
      <c r="U26" s="170"/>
      <c r="V26" s="170"/>
      <c r="W26" s="179" t="s">
        <v>110</v>
      </c>
      <c r="X26" s="170"/>
      <c r="Y26" s="180"/>
    </row>
    <row r="27" spans="1:25" x14ac:dyDescent="0.25">
      <c r="A27" s="77" t="s">
        <v>111</v>
      </c>
      <c r="B27" s="98"/>
      <c r="C27" s="99">
        <f>+'PIPA N'!D3</f>
        <v>0</v>
      </c>
      <c r="D27" s="100"/>
      <c r="E27" s="78"/>
      <c r="F27" s="79">
        <f>+'PIPA N'!D4</f>
        <v>0.34027777777777773</v>
      </c>
      <c r="G27" s="79"/>
      <c r="H27" s="78"/>
      <c r="I27" s="79">
        <f>+'PIPA N'!D5</f>
        <v>0.34375</v>
      </c>
      <c r="J27" s="79"/>
      <c r="K27" s="78"/>
      <c r="L27" s="79">
        <f>+'PIPA N'!D6</f>
        <v>0.34027777777777773</v>
      </c>
      <c r="M27" s="79"/>
      <c r="N27" s="78"/>
      <c r="O27" s="79">
        <f>+'PIPA N'!D7</f>
        <v>0.33819444444444446</v>
      </c>
      <c r="P27" s="79"/>
      <c r="Q27" s="78"/>
      <c r="R27" s="81"/>
      <c r="S27" s="82"/>
      <c r="T27" s="78"/>
      <c r="U27" s="81"/>
      <c r="V27" s="83"/>
      <c r="W27" s="84" t="str">
        <f>IFERROR(AVERAGE(B27,E27,H27,K27,N27,Q27,T27),"")</f>
        <v/>
      </c>
      <c r="X27" s="85">
        <f t="shared" ref="X27:Y29" si="6">IFERROR(AVERAGE(C27,F27,I27,L27,O27,R27,U27),"")</f>
        <v>0.27249999999999996</v>
      </c>
      <c r="Y27" s="132" t="str">
        <f t="shared" si="6"/>
        <v/>
      </c>
    </row>
    <row r="28" spans="1:25" x14ac:dyDescent="0.25">
      <c r="A28" s="115" t="s">
        <v>112</v>
      </c>
      <c r="B28" s="128"/>
      <c r="C28" s="99">
        <f>+'PIPA N'!J3</f>
        <v>0</v>
      </c>
      <c r="D28" s="155"/>
      <c r="E28" s="116"/>
      <c r="F28" s="79">
        <f>+'PIPA N'!J4</f>
        <v>0.65972222222222221</v>
      </c>
      <c r="G28" s="79"/>
      <c r="H28" s="116"/>
      <c r="I28" s="79">
        <f>+'PIPA N'!J5</f>
        <v>0.65972222222222221</v>
      </c>
      <c r="J28" s="79"/>
      <c r="K28" s="116"/>
      <c r="L28" s="79">
        <f>+'PIPA N'!J6</f>
        <v>0.65972222222222221</v>
      </c>
      <c r="M28" s="79"/>
      <c r="N28" s="116"/>
      <c r="O28" s="79">
        <f>+'PIPA N'!J7</f>
        <v>0.65972222222222221</v>
      </c>
      <c r="P28" s="79"/>
      <c r="Q28" s="116"/>
      <c r="R28" s="117"/>
      <c r="S28" s="118"/>
      <c r="T28" s="116"/>
      <c r="U28" s="117"/>
      <c r="V28" s="119"/>
      <c r="W28" s="87" t="str">
        <f>IFERROR(AVERAGE(B28,E28,H28,K28,N28,Q28,T28),"")</f>
        <v/>
      </c>
      <c r="X28" s="88">
        <f t="shared" si="6"/>
        <v>0.52777777777777779</v>
      </c>
      <c r="Y28" s="133" t="str">
        <f t="shared" si="6"/>
        <v/>
      </c>
    </row>
    <row r="29" spans="1:25" ht="16.5" thickBot="1" x14ac:dyDescent="0.3">
      <c r="A29" s="90" t="s">
        <v>113</v>
      </c>
      <c r="B29" s="108"/>
      <c r="C29" s="99">
        <f>+'PIPA N'!G16</f>
        <v>0</v>
      </c>
      <c r="D29" s="156"/>
      <c r="E29" s="91"/>
      <c r="F29" s="79">
        <f>+'PIPA N'!G17</f>
        <v>0.24513888888888891</v>
      </c>
      <c r="G29" s="79"/>
      <c r="H29" s="91"/>
      <c r="I29" s="79">
        <f>+'PIPA N'!G18</f>
        <v>0.24861111111111123</v>
      </c>
      <c r="J29" s="79"/>
      <c r="K29" s="91"/>
      <c r="L29" s="79">
        <f>+'PIPA N'!G19</f>
        <v>0.23958333333333343</v>
      </c>
      <c r="M29" s="79"/>
      <c r="N29" s="91"/>
      <c r="O29" s="79">
        <f>+'PIPA N'!G20</f>
        <v>0.24652777777777779</v>
      </c>
      <c r="P29" s="79"/>
      <c r="Q29" s="91"/>
      <c r="R29" s="92"/>
      <c r="S29" s="93"/>
      <c r="T29" s="91"/>
      <c r="U29" s="92"/>
      <c r="V29" s="94"/>
      <c r="W29" s="95" t="str">
        <f>IFERROR(AVERAGE(B29,E29,H29,K29,N29,Q29,T29),"")</f>
        <v/>
      </c>
      <c r="X29" s="96">
        <f t="shared" si="6"/>
        <v>0.19597222222222227</v>
      </c>
      <c r="Y29" s="134" t="str">
        <f t="shared" si="6"/>
        <v/>
      </c>
    </row>
    <row r="30" spans="1:25" ht="16.5" thickBot="1" x14ac:dyDescent="0.3">
      <c r="A30" s="76" t="s">
        <v>119</v>
      </c>
      <c r="B30" s="166" t="s">
        <v>110</v>
      </c>
      <c r="C30" s="167"/>
      <c r="D30" s="168"/>
      <c r="E30" s="169" t="s">
        <v>110</v>
      </c>
      <c r="F30" s="170"/>
      <c r="G30" s="171"/>
      <c r="H30" s="169" t="s">
        <v>110</v>
      </c>
      <c r="I30" s="170"/>
      <c r="J30" s="171"/>
      <c r="K30" s="169" t="s">
        <v>110</v>
      </c>
      <c r="L30" s="170"/>
      <c r="M30" s="171"/>
      <c r="N30" s="169" t="s">
        <v>110</v>
      </c>
      <c r="O30" s="170"/>
      <c r="P30" s="171"/>
      <c r="Q30" s="169" t="s">
        <v>110</v>
      </c>
      <c r="R30" s="170"/>
      <c r="S30" s="171"/>
      <c r="T30" s="169" t="s">
        <v>110</v>
      </c>
      <c r="U30" s="170"/>
      <c r="V30" s="170"/>
      <c r="W30" s="179" t="s">
        <v>110</v>
      </c>
      <c r="X30" s="170"/>
      <c r="Y30" s="180"/>
    </row>
    <row r="31" spans="1:25" x14ac:dyDescent="0.25">
      <c r="A31" s="77" t="s">
        <v>111</v>
      </c>
      <c r="B31" s="98"/>
      <c r="C31" s="99">
        <f>+'CH colon'!D3</f>
        <v>0</v>
      </c>
      <c r="D31" s="99"/>
      <c r="E31" s="78"/>
      <c r="F31" s="79">
        <f>+'CH colon'!D4</f>
        <v>0.3125</v>
      </c>
      <c r="G31" s="79"/>
      <c r="H31" s="78"/>
      <c r="I31" s="79">
        <f>+'CH colon'!D5</f>
        <v>0.31597222222222221</v>
      </c>
      <c r="J31" s="79"/>
      <c r="K31" s="78"/>
      <c r="L31" s="79">
        <f>+'CH colon'!D6</f>
        <v>0.30902777777777779</v>
      </c>
      <c r="M31" s="79"/>
      <c r="N31" s="78"/>
      <c r="O31" s="79">
        <f>+'CH colon'!D7</f>
        <v>0.31111111111111112</v>
      </c>
      <c r="P31" s="79"/>
      <c r="Q31" s="78"/>
      <c r="R31" s="81"/>
      <c r="S31" s="82"/>
      <c r="T31" s="78"/>
      <c r="U31" s="81"/>
      <c r="V31" s="83"/>
      <c r="W31" s="84" t="str">
        <f>IFERROR(AVERAGE(B31,E31,H31,K31,N31,Q31,T31),"")</f>
        <v/>
      </c>
      <c r="X31" s="85">
        <f t="shared" ref="X31:Y33" si="7">IFERROR(AVERAGE(C31,F31,I31,L31,O31,R31,U31),"")</f>
        <v>0.24972222222222223</v>
      </c>
      <c r="Y31" s="86" t="str">
        <f t="shared" si="7"/>
        <v/>
      </c>
    </row>
    <row r="32" spans="1:25" x14ac:dyDescent="0.25">
      <c r="A32" s="77" t="s">
        <v>112</v>
      </c>
      <c r="B32" s="98"/>
      <c r="C32" s="99">
        <f>+'CH colon'!J3</f>
        <v>0</v>
      </c>
      <c r="D32" s="99"/>
      <c r="E32" s="78"/>
      <c r="F32" s="79">
        <f>+'CH colon'!J4</f>
        <v>0.65625</v>
      </c>
      <c r="G32" s="79"/>
      <c r="H32" s="78"/>
      <c r="I32" s="79">
        <f>+'CH colon'!J5</f>
        <v>0.65625</v>
      </c>
      <c r="J32" s="79"/>
      <c r="K32" s="78"/>
      <c r="L32" s="79">
        <f>+'CH colon'!J6</f>
        <v>0.65625</v>
      </c>
      <c r="M32" s="79"/>
      <c r="N32" s="78"/>
      <c r="O32" s="79">
        <f>+'CH colon'!J7</f>
        <v>0.65972222222222221</v>
      </c>
      <c r="P32" s="79"/>
      <c r="Q32" s="78"/>
      <c r="R32" s="81"/>
      <c r="S32" s="82"/>
      <c r="T32" s="78"/>
      <c r="U32" s="81"/>
      <c r="V32" s="83"/>
      <c r="W32" s="87" t="str">
        <f>IFERROR(AVERAGE(B32,E32,H32,K32,N32,Q32,T32),"")</f>
        <v/>
      </c>
      <c r="X32" s="88">
        <f t="shared" si="7"/>
        <v>0.52569444444444446</v>
      </c>
      <c r="Y32" s="89" t="str">
        <f t="shared" si="7"/>
        <v/>
      </c>
    </row>
    <row r="33" spans="1:25" ht="16.5" thickBot="1" x14ac:dyDescent="0.3">
      <c r="A33" s="90" t="s">
        <v>113</v>
      </c>
      <c r="B33" s="108"/>
      <c r="C33" s="99">
        <f>+'CH colon'!G16</f>
        <v>0</v>
      </c>
      <c r="D33" s="99"/>
      <c r="E33" s="91"/>
      <c r="F33" s="79">
        <f>+'CH colon'!G17</f>
        <v>0.2673611111111111</v>
      </c>
      <c r="G33" s="79"/>
      <c r="H33" s="91"/>
      <c r="I33" s="79">
        <f>+'CH colon'!G18</f>
        <v>0.25694444444444448</v>
      </c>
      <c r="J33" s="79"/>
      <c r="K33" s="91"/>
      <c r="L33" s="79">
        <f>+'CH colon'!G19</f>
        <v>0.26874999999999999</v>
      </c>
      <c r="M33" s="79"/>
      <c r="N33" s="91"/>
      <c r="O33" s="79">
        <f>+'CH colon'!G20</f>
        <v>0.27083333333333337</v>
      </c>
      <c r="P33" s="79"/>
      <c r="Q33" s="91"/>
      <c r="R33" s="92"/>
      <c r="S33" s="93"/>
      <c r="T33" s="91"/>
      <c r="U33" s="92"/>
      <c r="V33" s="94"/>
      <c r="W33" s="95" t="str">
        <f>IFERROR(AVERAGE(B33,E33,H33,K33,N33,Q33,T33),"")</f>
        <v/>
      </c>
      <c r="X33" s="96">
        <f t="shared" si="7"/>
        <v>0.21277777777777782</v>
      </c>
      <c r="Y33" s="97" t="str">
        <f t="shared" si="7"/>
        <v/>
      </c>
    </row>
    <row r="34" spans="1:25" ht="16.5" thickBot="1" x14ac:dyDescent="0.3">
      <c r="A34" s="76" t="s">
        <v>92</v>
      </c>
      <c r="B34" s="166" t="s">
        <v>110</v>
      </c>
      <c r="C34" s="167"/>
      <c r="D34" s="168"/>
      <c r="E34" s="169" t="s">
        <v>110</v>
      </c>
      <c r="F34" s="170"/>
      <c r="G34" s="171"/>
      <c r="H34" s="169" t="s">
        <v>110</v>
      </c>
      <c r="I34" s="170"/>
      <c r="J34" s="171"/>
      <c r="K34" s="169" t="s">
        <v>110</v>
      </c>
      <c r="L34" s="170"/>
      <c r="M34" s="171"/>
      <c r="N34" s="169" t="s">
        <v>110</v>
      </c>
      <c r="O34" s="170"/>
      <c r="P34" s="171"/>
      <c r="Q34" s="169" t="s">
        <v>110</v>
      </c>
      <c r="R34" s="170"/>
      <c r="S34" s="171"/>
      <c r="T34" s="169" t="s">
        <v>110</v>
      </c>
      <c r="U34" s="170"/>
      <c r="V34" s="170"/>
      <c r="W34" s="179" t="s">
        <v>110</v>
      </c>
      <c r="X34" s="170"/>
      <c r="Y34" s="180"/>
    </row>
    <row r="35" spans="1:25" x14ac:dyDescent="0.25">
      <c r="A35" s="77" t="s">
        <v>111</v>
      </c>
      <c r="B35" s="98"/>
      <c r="C35" s="99">
        <f>+Salvataje!D3</f>
        <v>0</v>
      </c>
      <c r="D35" s="102"/>
      <c r="E35" s="78"/>
      <c r="F35" s="79">
        <f>+Salvataje!D4</f>
        <v>0.33333333333333331</v>
      </c>
      <c r="G35" s="82"/>
      <c r="H35" s="78"/>
      <c r="I35" s="79">
        <f>+Salvataje!D5</f>
        <v>0.33680555555555558</v>
      </c>
      <c r="J35" s="82"/>
      <c r="K35" s="78"/>
      <c r="L35" s="79">
        <f>+Salvataje!D6</f>
        <v>0.33680555555555558</v>
      </c>
      <c r="M35" s="82"/>
      <c r="N35" s="78"/>
      <c r="O35" s="79">
        <f>+Salvataje!D7</f>
        <v>0.33680555555555558</v>
      </c>
      <c r="P35" s="82"/>
      <c r="Q35" s="78"/>
      <c r="R35" s="81"/>
      <c r="S35" s="82"/>
      <c r="T35" s="78"/>
      <c r="U35" s="81"/>
      <c r="V35" s="83"/>
      <c r="W35" s="84" t="str">
        <f>IFERROR(AVERAGE(B35,E35,H35,K35,N35,Q35,T35),"")</f>
        <v/>
      </c>
      <c r="X35" s="85">
        <f t="shared" ref="X35:Y37" si="8">IFERROR(AVERAGE(C35,F35,I35,L35,O35,R35,U35),"")</f>
        <v>0.26874999999999999</v>
      </c>
      <c r="Y35" s="86" t="str">
        <f t="shared" si="8"/>
        <v/>
      </c>
    </row>
    <row r="36" spans="1:25" x14ac:dyDescent="0.25">
      <c r="A36" s="77" t="s">
        <v>112</v>
      </c>
      <c r="B36" s="98"/>
      <c r="C36" s="99">
        <f>+Salvataje!J3</f>
        <v>0</v>
      </c>
      <c r="D36" s="102"/>
      <c r="E36" s="78"/>
      <c r="F36" s="79">
        <f>+Salvataje!J4</f>
        <v>0.65625</v>
      </c>
      <c r="G36" s="82"/>
      <c r="H36" s="78"/>
      <c r="I36" s="79">
        <f>+Salvataje!J5</f>
        <v>0.65972222222222221</v>
      </c>
      <c r="J36" s="82"/>
      <c r="K36" s="78"/>
      <c r="L36" s="79">
        <f>+Salvataje!J6</f>
        <v>0.65972222222222221</v>
      </c>
      <c r="M36" s="82"/>
      <c r="N36" s="78"/>
      <c r="O36" s="79">
        <f>+Salvataje!J7</f>
        <v>0.65972222222222199</v>
      </c>
      <c r="P36" s="82"/>
      <c r="Q36" s="78"/>
      <c r="R36" s="81"/>
      <c r="S36" s="82"/>
      <c r="T36" s="78"/>
      <c r="U36" s="81"/>
      <c r="V36" s="83"/>
      <c r="W36" s="87" t="str">
        <f>IFERROR(AVERAGE(B36,E36,H36,K36,N36,Q36,T36),"")</f>
        <v/>
      </c>
      <c r="X36" s="88">
        <f t="shared" si="8"/>
        <v>0.52708333333333335</v>
      </c>
      <c r="Y36" s="89" t="str">
        <f t="shared" si="8"/>
        <v/>
      </c>
    </row>
    <row r="37" spans="1:25" ht="16.5" thickBot="1" x14ac:dyDescent="0.3">
      <c r="A37" s="90" t="s">
        <v>113</v>
      </c>
      <c r="B37" s="108"/>
      <c r="C37" s="99">
        <f>+Salvataje!G16</f>
        <v>0</v>
      </c>
      <c r="D37" s="111"/>
      <c r="E37" s="91"/>
      <c r="F37" s="79">
        <f>+Salvataje!G17</f>
        <v>0.25138888888888888</v>
      </c>
      <c r="G37" s="93"/>
      <c r="H37" s="91"/>
      <c r="I37" s="79">
        <f>+Salvataje!G18</f>
        <v>0.25902777777777791</v>
      </c>
      <c r="J37" s="93"/>
      <c r="K37" s="91"/>
      <c r="L37" s="79">
        <f>+Salvataje!G19</f>
        <v>0.25902777777777775</v>
      </c>
      <c r="M37" s="93"/>
      <c r="N37" s="91"/>
      <c r="O37" s="79">
        <f>+Salvataje!G20</f>
        <v>0.24999999999999967</v>
      </c>
      <c r="P37" s="93"/>
      <c r="Q37" s="91"/>
      <c r="R37" s="92"/>
      <c r="S37" s="93"/>
      <c r="T37" s="91"/>
      <c r="U37" s="92"/>
      <c r="V37" s="94"/>
      <c r="W37" s="95" t="str">
        <f>IFERROR(AVERAGE(B37,E37,H37,K37,N37,Q37,T37),"")</f>
        <v/>
      </c>
      <c r="X37" s="96">
        <f t="shared" si="8"/>
        <v>0.20388888888888884</v>
      </c>
      <c r="Y37" s="97" t="str">
        <f t="shared" si="8"/>
        <v/>
      </c>
    </row>
    <row r="38" spans="1:25" ht="16.5" thickBot="1" x14ac:dyDescent="0.3">
      <c r="A38" s="76" t="s">
        <v>86</v>
      </c>
      <c r="B38" s="166" t="s">
        <v>110</v>
      </c>
      <c r="C38" s="167"/>
      <c r="D38" s="168"/>
      <c r="E38" s="169" t="s">
        <v>110</v>
      </c>
      <c r="F38" s="170"/>
      <c r="G38" s="171"/>
      <c r="H38" s="169" t="s">
        <v>110</v>
      </c>
      <c r="I38" s="170"/>
      <c r="J38" s="171"/>
      <c r="K38" s="169" t="s">
        <v>110</v>
      </c>
      <c r="L38" s="170"/>
      <c r="M38" s="171"/>
      <c r="N38" s="169" t="s">
        <v>110</v>
      </c>
      <c r="O38" s="170"/>
      <c r="P38" s="171"/>
      <c r="Q38" s="169" t="s">
        <v>110</v>
      </c>
      <c r="R38" s="170"/>
      <c r="S38" s="171"/>
      <c r="T38" s="169" t="s">
        <v>110</v>
      </c>
      <c r="U38" s="170"/>
      <c r="V38" s="170"/>
      <c r="W38" s="179" t="s">
        <v>110</v>
      </c>
      <c r="X38" s="170"/>
      <c r="Y38" s="180"/>
    </row>
    <row r="39" spans="1:25" x14ac:dyDescent="0.25">
      <c r="A39" s="77" t="s">
        <v>111</v>
      </c>
      <c r="B39" s="98"/>
      <c r="C39" s="99">
        <f>+'La junta'!D3</f>
        <v>0</v>
      </c>
      <c r="D39" s="102"/>
      <c r="E39" s="78"/>
      <c r="F39" s="79">
        <f>+'La junta'!D4</f>
        <v>0.3125</v>
      </c>
      <c r="G39" s="80"/>
      <c r="H39" s="78"/>
      <c r="I39" s="79">
        <f>+'La junta'!D5</f>
        <v>0.31458333333333333</v>
      </c>
      <c r="J39" s="80"/>
      <c r="K39" s="78"/>
      <c r="L39" s="79">
        <f>+'La junta'!D6</f>
        <v>0.3125</v>
      </c>
      <c r="M39" s="80"/>
      <c r="N39" s="78"/>
      <c r="O39" s="79">
        <f>+'La junta'!D7</f>
        <v>0.31458333333333333</v>
      </c>
      <c r="P39" s="80"/>
      <c r="Q39" s="78"/>
      <c r="R39" s="81"/>
      <c r="S39" s="82"/>
      <c r="T39" s="78"/>
      <c r="U39" s="81"/>
      <c r="V39" s="83"/>
      <c r="W39" s="84" t="str">
        <f>IFERROR(AVERAGE(B39,E39,H39,K39,N39,Q39,T39),"")</f>
        <v/>
      </c>
      <c r="X39" s="85">
        <f>IFERROR(AVERAGE(C39,F39,I39,L39,O39,R39,U39),"")</f>
        <v>0.25083333333333335</v>
      </c>
      <c r="Y39" s="86" t="str">
        <f>IFERROR(AVERAGE(D39,G39,J39,M39,P39,S39,V39),"")</f>
        <v/>
      </c>
    </row>
    <row r="40" spans="1:25" x14ac:dyDescent="0.25">
      <c r="A40" s="77" t="s">
        <v>112</v>
      </c>
      <c r="B40" s="98"/>
      <c r="C40" s="99">
        <f>+'La junta'!J3</f>
        <v>0</v>
      </c>
      <c r="D40" s="102"/>
      <c r="E40" s="78"/>
      <c r="F40" s="79">
        <f>+'La junta'!J4</f>
        <v>0.65972222222222221</v>
      </c>
      <c r="G40" s="80"/>
      <c r="H40" s="78"/>
      <c r="I40" s="79">
        <f>+'La junta'!J5</f>
        <v>0.65972222222222221</v>
      </c>
      <c r="J40" s="80"/>
      <c r="K40" s="78"/>
      <c r="L40" s="79">
        <f>+'La junta'!J6</f>
        <v>0.65972222222222221</v>
      </c>
      <c r="M40" s="80"/>
      <c r="N40" s="78"/>
      <c r="O40" s="79">
        <f>+'La junta'!J7</f>
        <v>0.65972222222222221</v>
      </c>
      <c r="P40" s="80"/>
      <c r="Q40" s="78"/>
      <c r="R40" s="81"/>
      <c r="S40" s="82"/>
      <c r="T40" s="78"/>
      <c r="U40" s="81"/>
      <c r="V40" s="83"/>
      <c r="W40" s="87" t="str">
        <f>IFERROR(AVERAGE(B40,E40,H40,K40,N40,Q40,T40),"")</f>
        <v/>
      </c>
      <c r="X40" s="88">
        <f t="shared" ref="X40:X41" si="9">IFERROR(AVERAGE(C40,F40,I40,L40,O40,R40,U40),"")</f>
        <v>0.52777777777777779</v>
      </c>
      <c r="Y40" s="89" t="str">
        <f>IFERROR(AVERAGE(D40,G40,J40,M40,P40,S40,V40),"")</f>
        <v/>
      </c>
    </row>
    <row r="41" spans="1:25" ht="16.5" thickBot="1" x14ac:dyDescent="0.3">
      <c r="A41" s="90" t="s">
        <v>113</v>
      </c>
      <c r="B41" s="108"/>
      <c r="C41" s="109">
        <f>+'La junta'!G16</f>
        <v>0</v>
      </c>
      <c r="D41" s="111"/>
      <c r="E41" s="91"/>
      <c r="F41" s="120">
        <f>+'La junta'!G17</f>
        <v>0.28472222222222221</v>
      </c>
      <c r="G41" s="80"/>
      <c r="H41" s="91"/>
      <c r="I41" s="120">
        <f>+'La junta'!G18</f>
        <v>0.29027777777777791</v>
      </c>
      <c r="J41" s="80"/>
      <c r="K41" s="91"/>
      <c r="L41" s="120">
        <f>+'La junta'!G19</f>
        <v>0.28680555555555559</v>
      </c>
      <c r="M41" s="80"/>
      <c r="N41" s="91"/>
      <c r="O41" s="120">
        <f>+'La junta'!G20</f>
        <v>0.28819444444444448</v>
      </c>
      <c r="P41" s="80"/>
      <c r="Q41" s="91"/>
      <c r="R41" s="92"/>
      <c r="S41" s="93"/>
      <c r="T41" s="91"/>
      <c r="U41" s="92"/>
      <c r="V41" s="94"/>
      <c r="W41" s="95" t="str">
        <f>IFERROR(AVERAGE(B41,E41,H41,K41,N41,Q41,T41),"")</f>
        <v/>
      </c>
      <c r="X41" s="96">
        <f t="shared" si="9"/>
        <v>0.23000000000000004</v>
      </c>
      <c r="Y41" s="97" t="str">
        <f>IFERROR(AVERAGE(D41,G41,J41,M41,P41,S41,V41),"")</f>
        <v/>
      </c>
    </row>
    <row r="42" spans="1:25" ht="16.5" thickBot="1" x14ac:dyDescent="0.3">
      <c r="A42" s="76" t="s">
        <v>62</v>
      </c>
      <c r="B42" s="166" t="s">
        <v>110</v>
      </c>
      <c r="C42" s="167"/>
      <c r="D42" s="168"/>
      <c r="E42" s="169" t="s">
        <v>110</v>
      </c>
      <c r="F42" s="170"/>
      <c r="G42" s="171"/>
      <c r="H42" s="169" t="s">
        <v>110</v>
      </c>
      <c r="I42" s="170"/>
      <c r="J42" s="171"/>
      <c r="K42" s="169" t="s">
        <v>110</v>
      </c>
      <c r="L42" s="170"/>
      <c r="M42" s="171"/>
      <c r="N42" s="169" t="s">
        <v>110</v>
      </c>
      <c r="O42" s="170"/>
      <c r="P42" s="171"/>
      <c r="Q42" s="169" t="s">
        <v>110</v>
      </c>
      <c r="R42" s="170"/>
      <c r="S42" s="171"/>
      <c r="T42" s="169" t="s">
        <v>110</v>
      </c>
      <c r="U42" s="170"/>
      <c r="V42" s="170"/>
      <c r="W42" s="179" t="s">
        <v>110</v>
      </c>
      <c r="X42" s="170"/>
      <c r="Y42" s="180"/>
    </row>
    <row r="43" spans="1:25" x14ac:dyDescent="0.25">
      <c r="A43" s="77" t="s">
        <v>111</v>
      </c>
      <c r="B43" s="98"/>
      <c r="C43" s="157">
        <f>+AC!D3</f>
        <v>0</v>
      </c>
      <c r="D43" s="157"/>
      <c r="E43" s="78"/>
      <c r="F43" s="124">
        <f>+AC!D4</f>
        <v>0.30902777777777779</v>
      </c>
      <c r="G43" s="124"/>
      <c r="H43" s="78"/>
      <c r="I43" s="124">
        <f>+AC!D5</f>
        <v>0.3125</v>
      </c>
      <c r="J43" s="124"/>
      <c r="K43" s="78"/>
      <c r="L43" s="124">
        <f>+AC!D6</f>
        <v>0.3125</v>
      </c>
      <c r="M43" s="124"/>
      <c r="N43" s="78"/>
      <c r="O43" s="124">
        <f>+AC!D7</f>
        <v>0.31597222222222221</v>
      </c>
      <c r="P43" s="124"/>
      <c r="Q43" s="78"/>
      <c r="R43" s="81"/>
      <c r="S43" s="82"/>
      <c r="T43" s="78"/>
      <c r="U43" s="81"/>
      <c r="V43" s="83"/>
      <c r="W43" s="84" t="str">
        <f>IFERROR(AVERAGE(B43,E43,H43,K43,N43,Q43,T43),"")</f>
        <v/>
      </c>
      <c r="X43" s="85">
        <f t="shared" ref="X43:Y45" si="10">IFERROR(AVERAGE(C43,F43,I43,L43,O43,R43,U43),"")</f>
        <v>0.25</v>
      </c>
      <c r="Y43" s="85" t="str">
        <f t="shared" si="10"/>
        <v/>
      </c>
    </row>
    <row r="44" spans="1:25" x14ac:dyDescent="0.25">
      <c r="A44" s="77" t="s">
        <v>112</v>
      </c>
      <c r="B44" s="98"/>
      <c r="C44" s="99">
        <f>+AC!J3</f>
        <v>0</v>
      </c>
      <c r="D44" s="99"/>
      <c r="E44" s="78"/>
      <c r="F44" s="79">
        <f>+AC!J4</f>
        <v>0.65277777777777779</v>
      </c>
      <c r="G44" s="79"/>
      <c r="H44" s="78"/>
      <c r="I44" s="79">
        <f>+AC!J5</f>
        <v>0.65972222222222221</v>
      </c>
      <c r="J44" s="79"/>
      <c r="K44" s="78"/>
      <c r="L44" s="79">
        <f>+AC!J6</f>
        <v>0.65625</v>
      </c>
      <c r="M44" s="79"/>
      <c r="N44" s="78"/>
      <c r="O44" s="79">
        <f>+AC!J7</f>
        <v>0.65277777777777779</v>
      </c>
      <c r="P44" s="79"/>
      <c r="Q44" s="78"/>
      <c r="R44" s="81"/>
      <c r="S44" s="82"/>
      <c r="T44" s="78"/>
      <c r="U44" s="81"/>
      <c r="V44" s="83"/>
      <c r="W44" s="87" t="str">
        <f>IFERROR(AVERAGE(B44,E44,H44,K44,N44,Q44,T44),"")</f>
        <v/>
      </c>
      <c r="X44" s="88">
        <f t="shared" si="10"/>
        <v>0.52430555555555558</v>
      </c>
      <c r="Y44" s="88" t="str">
        <f t="shared" si="10"/>
        <v/>
      </c>
    </row>
    <row r="45" spans="1:25" ht="16.5" thickBot="1" x14ac:dyDescent="0.3">
      <c r="A45" s="90" t="s">
        <v>113</v>
      </c>
      <c r="B45" s="108"/>
      <c r="C45" s="109">
        <f>+AC!G16</f>
        <v>0</v>
      </c>
      <c r="D45" s="109"/>
      <c r="E45" s="91"/>
      <c r="F45" s="120">
        <f>+AC!G17</f>
        <v>0.25347222222222227</v>
      </c>
      <c r="G45" s="120"/>
      <c r="H45" s="91"/>
      <c r="I45" s="120">
        <f>+AC!G18</f>
        <v>0.2729166666666667</v>
      </c>
      <c r="J45" s="120"/>
      <c r="K45" s="91"/>
      <c r="L45" s="120">
        <f>+AC!G19</f>
        <v>0.2638888888888889</v>
      </c>
      <c r="M45" s="120"/>
      <c r="N45" s="91"/>
      <c r="O45" s="120">
        <f>+AC!G20</f>
        <v>0.25208333333333333</v>
      </c>
      <c r="P45" s="120"/>
      <c r="Q45" s="91"/>
      <c r="R45" s="92"/>
      <c r="S45" s="93"/>
      <c r="T45" s="91"/>
      <c r="U45" s="92"/>
      <c r="V45" s="94"/>
      <c r="W45" s="95" t="str">
        <f>IFERROR(AVERAGE(B45,E45,H45,K45,N45,Q45,T45),"")</f>
        <v/>
      </c>
      <c r="X45" s="96">
        <f t="shared" si="10"/>
        <v>0.20847222222222223</v>
      </c>
      <c r="Y45" s="96" t="str">
        <f t="shared" si="10"/>
        <v/>
      </c>
    </row>
    <row r="46" spans="1:25" ht="16.5" thickBot="1" x14ac:dyDescent="0.3">
      <c r="A46" s="76" t="s">
        <v>120</v>
      </c>
      <c r="B46" s="166" t="s">
        <v>110</v>
      </c>
      <c r="C46" s="167"/>
      <c r="D46" s="168"/>
      <c r="E46" s="169" t="s">
        <v>110</v>
      </c>
      <c r="F46" s="170"/>
      <c r="G46" s="171"/>
      <c r="H46" s="169" t="s">
        <v>110</v>
      </c>
      <c r="I46" s="170"/>
      <c r="J46" s="171"/>
      <c r="K46" s="169" t="s">
        <v>110</v>
      </c>
      <c r="L46" s="170"/>
      <c r="M46" s="171"/>
      <c r="N46" s="169" t="s">
        <v>110</v>
      </c>
      <c r="O46" s="170"/>
      <c r="P46" s="171"/>
      <c r="Q46" s="169" t="s">
        <v>110</v>
      </c>
      <c r="R46" s="170"/>
      <c r="S46" s="171"/>
      <c r="T46" s="169" t="s">
        <v>110</v>
      </c>
      <c r="U46" s="170"/>
      <c r="V46" s="170"/>
      <c r="W46" s="179" t="s">
        <v>110</v>
      </c>
      <c r="X46" s="170"/>
      <c r="Y46" s="180"/>
    </row>
    <row r="47" spans="1:25" x14ac:dyDescent="0.25">
      <c r="A47" s="77" t="s">
        <v>111</v>
      </c>
      <c r="B47" s="98"/>
      <c r="C47" s="99"/>
      <c r="D47" s="99">
        <f>+Colec!D3</f>
        <v>0</v>
      </c>
      <c r="E47" s="98"/>
      <c r="F47" s="99"/>
      <c r="G47" s="99">
        <f>+Colec!D4</f>
        <v>0.64583333333333337</v>
      </c>
      <c r="H47" s="98"/>
      <c r="I47" s="99"/>
      <c r="J47" s="99">
        <f>+Colec!D5</f>
        <v>0.64583333333333337</v>
      </c>
      <c r="K47" s="98"/>
      <c r="L47" s="99"/>
      <c r="M47" s="99">
        <f>+Colec!D6</f>
        <v>0.64583333333333337</v>
      </c>
      <c r="N47" s="98"/>
      <c r="O47" s="99"/>
      <c r="P47" s="99">
        <f>+Colec!D7</f>
        <v>0.64583333333333337</v>
      </c>
      <c r="Q47" s="98"/>
      <c r="R47" s="101"/>
      <c r="S47" s="102"/>
      <c r="T47" s="98"/>
      <c r="U47" s="101"/>
      <c r="V47" s="103"/>
      <c r="W47" s="104" t="str">
        <f>IFERROR(AVERAGE(B47,E47,H47,K47,N47,Q47,T47),"")</f>
        <v/>
      </c>
      <c r="X47" s="105" t="str">
        <f t="shared" ref="X47:Y49" si="11">IFERROR(AVERAGE(C47,F47,I47,L47,O47,R47,U47),"")</f>
        <v/>
      </c>
      <c r="Y47" s="105">
        <f t="shared" si="11"/>
        <v>0.51666666666666672</v>
      </c>
    </row>
    <row r="48" spans="1:25" x14ac:dyDescent="0.25">
      <c r="A48" s="77" t="s">
        <v>112</v>
      </c>
      <c r="B48" s="98"/>
      <c r="C48" s="99"/>
      <c r="D48" s="99">
        <f>+Colec!J3</f>
        <v>0</v>
      </c>
      <c r="E48" s="98"/>
      <c r="F48" s="99"/>
      <c r="G48" s="99">
        <f>+Colec!J4</f>
        <v>0.98611111111111116</v>
      </c>
      <c r="H48" s="98"/>
      <c r="I48" s="99"/>
      <c r="J48" s="99">
        <f>+Colec!J5</f>
        <v>0.98611111111111116</v>
      </c>
      <c r="K48" s="98"/>
      <c r="L48" s="99"/>
      <c r="M48" s="99">
        <f>+Colec!J6</f>
        <v>0.98611111111111116</v>
      </c>
      <c r="N48" s="98"/>
      <c r="O48" s="99"/>
      <c r="P48" s="99">
        <f>+Colec!J7</f>
        <v>0.98611111111111116</v>
      </c>
      <c r="Q48" s="98"/>
      <c r="R48" s="101"/>
      <c r="S48" s="102"/>
      <c r="T48" s="98"/>
      <c r="U48" s="101"/>
      <c r="V48" s="103"/>
      <c r="W48" s="106" t="str">
        <f>IFERROR(AVERAGE(B48,E48,H48,K48,N48,Q48,T48),"")</f>
        <v/>
      </c>
      <c r="X48" s="107" t="str">
        <f t="shared" si="11"/>
        <v/>
      </c>
      <c r="Y48" s="107">
        <f t="shared" si="11"/>
        <v>0.78888888888888897</v>
      </c>
    </row>
    <row r="49" spans="1:25" ht="16.5" thickBot="1" x14ac:dyDescent="0.3">
      <c r="A49" s="90" t="s">
        <v>113</v>
      </c>
      <c r="B49" s="108"/>
      <c r="C49" s="99"/>
      <c r="D49" s="99">
        <f>+Colec!G16</f>
        <v>0</v>
      </c>
      <c r="E49" s="108"/>
      <c r="F49" s="99"/>
      <c r="G49" s="99">
        <f>+Colec!G17</f>
        <v>0.25000000000000022</v>
      </c>
      <c r="H49" s="108"/>
      <c r="I49" s="99"/>
      <c r="J49" s="99">
        <f>+Colec!G18</f>
        <v>0.26736111111111116</v>
      </c>
      <c r="K49" s="108"/>
      <c r="L49" s="99"/>
      <c r="M49" s="99">
        <f>+Colec!G19</f>
        <v>0.25833333333333341</v>
      </c>
      <c r="N49" s="108"/>
      <c r="O49" s="99"/>
      <c r="P49" s="99">
        <f>+Colec!G20</f>
        <v>0.25694444444444453</v>
      </c>
      <c r="Q49" s="108"/>
      <c r="R49" s="110"/>
      <c r="S49" s="111"/>
      <c r="T49" s="108"/>
      <c r="U49" s="110"/>
      <c r="V49" s="112"/>
      <c r="W49" s="113" t="str">
        <f>IFERROR(AVERAGE(B49,E49,H49,K49,N49,Q49,T49),"")</f>
        <v/>
      </c>
      <c r="X49" s="114" t="str">
        <f t="shared" si="11"/>
        <v/>
      </c>
      <c r="Y49" s="114">
        <f t="shared" si="11"/>
        <v>0.20652777777777787</v>
      </c>
    </row>
    <row r="50" spans="1:25" ht="16.5" thickBot="1" x14ac:dyDescent="0.3">
      <c r="A50" s="76" t="s">
        <v>61</v>
      </c>
      <c r="B50" s="166" t="s">
        <v>110</v>
      </c>
      <c r="C50" s="167"/>
      <c r="D50" s="168"/>
      <c r="E50" s="169" t="s">
        <v>110</v>
      </c>
      <c r="F50" s="170"/>
      <c r="G50" s="171"/>
      <c r="H50" s="169" t="s">
        <v>110</v>
      </c>
      <c r="I50" s="170"/>
      <c r="J50" s="171"/>
      <c r="K50" s="169" t="s">
        <v>110</v>
      </c>
      <c r="L50" s="170"/>
      <c r="M50" s="171"/>
      <c r="N50" s="169" t="s">
        <v>110</v>
      </c>
      <c r="O50" s="170"/>
      <c r="P50" s="171"/>
      <c r="Q50" s="169" t="s">
        <v>110</v>
      </c>
      <c r="R50" s="170"/>
      <c r="S50" s="171"/>
      <c r="T50" s="169" t="s">
        <v>110</v>
      </c>
      <c r="U50" s="170"/>
      <c r="V50" s="170"/>
      <c r="W50" s="179" t="s">
        <v>110</v>
      </c>
      <c r="X50" s="170"/>
      <c r="Y50" s="180"/>
    </row>
    <row r="51" spans="1:25" x14ac:dyDescent="0.25">
      <c r="A51" s="77" t="s">
        <v>111</v>
      </c>
      <c r="B51" s="98"/>
      <c r="C51" s="100">
        <f>+'P M'!D3</f>
        <v>0</v>
      </c>
      <c r="D51" s="100"/>
      <c r="E51" s="78"/>
      <c r="F51" s="124">
        <f>+'P M'!D4</f>
        <v>0.3125</v>
      </c>
      <c r="G51" s="124"/>
      <c r="H51" s="78"/>
      <c r="I51" s="124">
        <f>+'P M'!D5</f>
        <v>0.3125</v>
      </c>
      <c r="J51" s="124"/>
      <c r="K51" s="78"/>
      <c r="L51" s="124">
        <f>+'P M'!D6</f>
        <v>0.3125</v>
      </c>
      <c r="M51" s="124"/>
      <c r="N51" s="78"/>
      <c r="O51" s="124">
        <f>+'P M'!D7</f>
        <v>0.3125</v>
      </c>
      <c r="P51" s="124"/>
      <c r="Q51" s="78"/>
      <c r="R51" s="81"/>
      <c r="S51" s="82"/>
      <c r="T51" s="78"/>
      <c r="U51" s="81"/>
      <c r="V51" s="83"/>
      <c r="W51" s="84" t="str">
        <f>IFERROR(AVERAGE(B51,E51,H51,K51,N51,Q51,T51),"")</f>
        <v/>
      </c>
      <c r="X51" s="85">
        <f t="shared" ref="X51:Y53" si="12">IFERROR(AVERAGE(C51,F51,I51,L51,O51,R51,U51),"")</f>
        <v>0.25</v>
      </c>
      <c r="Y51" s="85" t="str">
        <f t="shared" si="12"/>
        <v/>
      </c>
    </row>
    <row r="52" spans="1:25" x14ac:dyDescent="0.25">
      <c r="A52" s="77" t="s">
        <v>112</v>
      </c>
      <c r="B52" s="98"/>
      <c r="C52" s="100">
        <f>+'P M'!J3</f>
        <v>0</v>
      </c>
      <c r="D52" s="100"/>
      <c r="E52" s="78"/>
      <c r="F52" s="79">
        <f>+'P M'!J4</f>
        <v>0.65625</v>
      </c>
      <c r="G52" s="79"/>
      <c r="H52" s="78"/>
      <c r="I52" s="79">
        <f>+'P M'!J5</f>
        <v>0.65625</v>
      </c>
      <c r="J52" s="79"/>
      <c r="K52" s="78"/>
      <c r="L52" s="79">
        <f>+'P M'!J6</f>
        <v>0.65277777777777779</v>
      </c>
      <c r="M52" s="79"/>
      <c r="N52" s="78"/>
      <c r="O52" s="79">
        <f>+'P M'!J7</f>
        <v>0.65277777777777779</v>
      </c>
      <c r="P52" s="79"/>
      <c r="Q52" s="78"/>
      <c r="R52" s="81"/>
      <c r="S52" s="82"/>
      <c r="T52" s="78"/>
      <c r="U52" s="81"/>
      <c r="V52" s="83"/>
      <c r="W52" s="87" t="str">
        <f>IFERROR(AVERAGE(B52,E52,H52,K52,N52,Q52,T52),"")</f>
        <v/>
      </c>
      <c r="X52" s="88">
        <f t="shared" si="12"/>
        <v>0.52361111111111103</v>
      </c>
      <c r="Y52" s="88" t="str">
        <f t="shared" si="12"/>
        <v/>
      </c>
    </row>
    <row r="53" spans="1:25" ht="16.5" thickBot="1" x14ac:dyDescent="0.3">
      <c r="A53" s="90" t="s">
        <v>113</v>
      </c>
      <c r="B53" s="108"/>
      <c r="C53" s="100">
        <f>+'P M'!G16</f>
        <v>0</v>
      </c>
      <c r="D53" s="100"/>
      <c r="E53" s="91"/>
      <c r="F53" s="120">
        <f>+'P M'!G17</f>
        <v>0.25000000000000006</v>
      </c>
      <c r="G53" s="120"/>
      <c r="H53" s="91"/>
      <c r="I53" s="120">
        <f>+'P M'!G19</f>
        <v>0.24999999999999994</v>
      </c>
      <c r="J53" s="120"/>
      <c r="K53" s="91"/>
      <c r="L53" s="120">
        <f>+'P M'!G20</f>
        <v>0.24305555555555558</v>
      </c>
      <c r="M53" s="120"/>
      <c r="N53" s="91"/>
      <c r="O53" s="120">
        <f>+'P M'!G21</f>
        <v>0.24913194444444448</v>
      </c>
      <c r="P53" s="120"/>
      <c r="Q53" s="91"/>
      <c r="R53" s="92"/>
      <c r="S53" s="93"/>
      <c r="T53" s="91"/>
      <c r="U53" s="92"/>
      <c r="V53" s="94"/>
      <c r="W53" s="95" t="str">
        <f>IFERROR(AVERAGE(B53,E53,H53,K53,N53,Q53,T53),"")</f>
        <v/>
      </c>
      <c r="X53" s="96">
        <f t="shared" si="12"/>
        <v>0.19843749999999999</v>
      </c>
      <c r="Y53" s="96" t="str">
        <f t="shared" si="12"/>
        <v/>
      </c>
    </row>
    <row r="54" spans="1:25" ht="16.5" thickBot="1" x14ac:dyDescent="0.3">
      <c r="A54" s="76" t="s">
        <v>82</v>
      </c>
      <c r="B54" s="166" t="s">
        <v>110</v>
      </c>
      <c r="C54" s="167"/>
      <c r="D54" s="168"/>
      <c r="E54" s="169" t="s">
        <v>110</v>
      </c>
      <c r="F54" s="170"/>
      <c r="G54" s="171"/>
      <c r="H54" s="169" t="s">
        <v>110</v>
      </c>
      <c r="I54" s="170"/>
      <c r="J54" s="171"/>
      <c r="K54" s="169" t="s">
        <v>110</v>
      </c>
      <c r="L54" s="170"/>
      <c r="M54" s="171"/>
      <c r="N54" s="169" t="s">
        <v>110</v>
      </c>
      <c r="O54" s="170"/>
      <c r="P54" s="171"/>
      <c r="Q54" s="169" t="s">
        <v>110</v>
      </c>
      <c r="R54" s="170"/>
      <c r="S54" s="171"/>
      <c r="T54" s="169" t="s">
        <v>110</v>
      </c>
      <c r="U54" s="170"/>
      <c r="V54" s="170"/>
      <c r="W54" s="179" t="s">
        <v>110</v>
      </c>
      <c r="X54" s="170"/>
      <c r="Y54" s="180"/>
    </row>
    <row r="55" spans="1:25" x14ac:dyDescent="0.25">
      <c r="A55" s="77" t="s">
        <v>111</v>
      </c>
      <c r="B55" s="98"/>
      <c r="C55" s="99"/>
      <c r="D55" s="99">
        <f>+'Vent '!D3</f>
        <v>0</v>
      </c>
      <c r="E55" s="98"/>
      <c r="F55" s="99"/>
      <c r="G55" s="99">
        <f>+'Vent '!D4</f>
        <v>0.64583333333333337</v>
      </c>
      <c r="H55" s="98"/>
      <c r="I55" s="99"/>
      <c r="J55" s="99">
        <f>+'Vent '!D5</f>
        <v>0.64583333333333337</v>
      </c>
      <c r="K55" s="98"/>
      <c r="L55" s="99"/>
      <c r="M55" s="99">
        <f>+'Vent '!D6</f>
        <v>0.64583333333333337</v>
      </c>
      <c r="N55" s="98"/>
      <c r="O55" s="99"/>
      <c r="P55" s="99">
        <f>+'Vent '!D7</f>
        <v>0.64583333333333337</v>
      </c>
      <c r="Q55" s="98"/>
      <c r="R55" s="101"/>
      <c r="S55" s="102"/>
      <c r="T55" s="98"/>
      <c r="U55" s="101"/>
      <c r="V55" s="103"/>
      <c r="W55" s="104" t="str">
        <f>IFERROR(AVERAGE(B55,E55,H55,K55,N55,Q55,T55),"")</f>
        <v/>
      </c>
      <c r="X55" s="105" t="str">
        <f t="shared" ref="X55:Y57" si="13">IFERROR(AVERAGE(C55,F55,I55,L55,O55,R55,U55),"")</f>
        <v/>
      </c>
      <c r="Y55" s="129">
        <f t="shared" si="13"/>
        <v>0.51666666666666672</v>
      </c>
    </row>
    <row r="56" spans="1:25" x14ac:dyDescent="0.25">
      <c r="A56" s="77" t="s">
        <v>112</v>
      </c>
      <c r="B56" s="98"/>
      <c r="C56" s="99"/>
      <c r="D56" s="99">
        <f>+'Vent '!J3</f>
        <v>0</v>
      </c>
      <c r="E56" s="98"/>
      <c r="F56" s="99"/>
      <c r="G56" s="99">
        <f>+'Vent '!J4</f>
        <v>0.97916666666666663</v>
      </c>
      <c r="H56" s="98"/>
      <c r="I56" s="99"/>
      <c r="J56" s="99">
        <f>+'Vent '!J5</f>
        <v>0.97916666666666663</v>
      </c>
      <c r="K56" s="98"/>
      <c r="L56" s="99"/>
      <c r="M56" s="99">
        <f>+'Vent '!J6</f>
        <v>0.97916666666666663</v>
      </c>
      <c r="N56" s="98"/>
      <c r="O56" s="99"/>
      <c r="P56" s="99">
        <f>+'Vent '!J7</f>
        <v>0.97916666666666663</v>
      </c>
      <c r="Q56" s="98"/>
      <c r="R56" s="101"/>
      <c r="S56" s="102"/>
      <c r="T56" s="98"/>
      <c r="U56" s="101"/>
      <c r="V56" s="103"/>
      <c r="W56" s="106" t="str">
        <f>IFERROR(AVERAGE(B56,E56,H56,K56,N56,Q56,T56),"")</f>
        <v/>
      </c>
      <c r="X56" s="107" t="str">
        <f t="shared" si="13"/>
        <v/>
      </c>
      <c r="Y56" s="130">
        <f t="shared" si="13"/>
        <v>0.78333333333333333</v>
      </c>
    </row>
    <row r="57" spans="1:25" ht="16.5" thickBot="1" x14ac:dyDescent="0.3">
      <c r="A57" s="90" t="s">
        <v>113</v>
      </c>
      <c r="B57" s="108"/>
      <c r="C57" s="99"/>
      <c r="D57" s="99">
        <f>+'Vent '!G16</f>
        <v>0</v>
      </c>
      <c r="E57" s="108"/>
      <c r="F57" s="99"/>
      <c r="G57" s="99">
        <f>+'Vent '!G17</f>
        <v>0.26388888888888884</v>
      </c>
      <c r="H57" s="108"/>
      <c r="I57" s="99"/>
      <c r="J57" s="99">
        <f>+'Vent '!G18</f>
        <v>0.24652777777777768</v>
      </c>
      <c r="K57" s="108"/>
      <c r="L57" s="99"/>
      <c r="M57" s="99">
        <f>+'Vent '!G19</f>
        <v>0.24652777777777757</v>
      </c>
      <c r="N57" s="108"/>
      <c r="O57" s="99"/>
      <c r="P57" s="99">
        <f>+'Vent '!G20</f>
        <v>0.25069444444444433</v>
      </c>
      <c r="Q57" s="108"/>
      <c r="R57" s="110"/>
      <c r="S57" s="111"/>
      <c r="T57" s="108"/>
      <c r="U57" s="110"/>
      <c r="V57" s="112"/>
      <c r="W57" s="113" t="str">
        <f>IFERROR(AVERAGE(B57,E57,H57,K57,N57,Q57,T57),"")</f>
        <v/>
      </c>
      <c r="X57" s="114" t="str">
        <f t="shared" si="13"/>
        <v/>
      </c>
      <c r="Y57" s="131">
        <f t="shared" si="13"/>
        <v>0.20152777777777767</v>
      </c>
    </row>
    <row r="58" spans="1:25" ht="16.5" thickBot="1" x14ac:dyDescent="0.3">
      <c r="A58" s="76" t="s">
        <v>121</v>
      </c>
      <c r="B58" s="166" t="s">
        <v>110</v>
      </c>
      <c r="C58" s="167"/>
      <c r="D58" s="168"/>
      <c r="E58" s="169" t="s">
        <v>110</v>
      </c>
      <c r="F58" s="170"/>
      <c r="G58" s="171"/>
      <c r="H58" s="169" t="s">
        <v>110</v>
      </c>
      <c r="I58" s="170"/>
      <c r="J58" s="171"/>
      <c r="K58" s="169" t="s">
        <v>110</v>
      </c>
      <c r="L58" s="170"/>
      <c r="M58" s="171"/>
      <c r="N58" s="169" t="s">
        <v>110</v>
      </c>
      <c r="O58" s="170"/>
      <c r="P58" s="171"/>
      <c r="Q58" s="169" t="s">
        <v>110</v>
      </c>
      <c r="R58" s="170"/>
      <c r="S58" s="171"/>
      <c r="T58" s="169" t="s">
        <v>110</v>
      </c>
      <c r="U58" s="170"/>
      <c r="V58" s="170"/>
      <c r="W58" s="179" t="s">
        <v>110</v>
      </c>
      <c r="X58" s="170"/>
      <c r="Y58" s="171"/>
    </row>
    <row r="59" spans="1:25" x14ac:dyDescent="0.25">
      <c r="A59" s="77" t="s">
        <v>111</v>
      </c>
      <c r="B59" s="98"/>
      <c r="C59" s="99">
        <f>+ACCU!D3</f>
        <v>0.33333333333333331</v>
      </c>
      <c r="D59" s="102"/>
      <c r="E59" s="78"/>
      <c r="F59" s="79">
        <f>+ACCU!D4</f>
        <v>0.33333333333333331</v>
      </c>
      <c r="G59" s="82"/>
      <c r="H59" s="78"/>
      <c r="I59" s="79">
        <f>+ACCU!D5</f>
        <v>0.33333333333333331</v>
      </c>
      <c r="J59" s="82"/>
      <c r="K59" s="78"/>
      <c r="L59" s="79">
        <f>+ACCU!D6</f>
        <v>0.33680555555555558</v>
      </c>
      <c r="M59" s="82"/>
      <c r="N59" s="78"/>
      <c r="O59" s="79">
        <f>+ACCU!D7</f>
        <v>0.33333333333333331</v>
      </c>
      <c r="P59" s="82"/>
      <c r="Q59" s="78"/>
      <c r="R59" s="81"/>
      <c r="S59" s="82"/>
      <c r="T59" s="78"/>
      <c r="U59" s="81"/>
      <c r="V59" s="83"/>
      <c r="W59" s="84" t="str">
        <f>IFERROR(AVERAGE(B59,E59,H59,K59,N59,Q59,T59),"")</f>
        <v/>
      </c>
      <c r="X59" s="85">
        <f t="shared" ref="X59:Y61" si="14">IFERROR(AVERAGE(C59,F59,I59,L59,O59,R59,U59),"")</f>
        <v>0.33402777777777776</v>
      </c>
      <c r="Y59" s="121" t="str">
        <f t="shared" si="14"/>
        <v/>
      </c>
    </row>
    <row r="60" spans="1:25" x14ac:dyDescent="0.25">
      <c r="A60" s="77" t="s">
        <v>112</v>
      </c>
      <c r="B60" s="98"/>
      <c r="C60" s="99">
        <f>+ACCU!J3</f>
        <v>0.83333333333333337</v>
      </c>
      <c r="D60" s="102"/>
      <c r="E60" s="78"/>
      <c r="F60" s="79">
        <f>+ACCU!J4</f>
        <v>0.83333333333333337</v>
      </c>
      <c r="G60" s="82"/>
      <c r="H60" s="78"/>
      <c r="I60" s="79">
        <f>+ACCU!J5</f>
        <v>0.83333333333333304</v>
      </c>
      <c r="J60" s="82"/>
      <c r="K60" s="78"/>
      <c r="L60" s="79">
        <f>+ACCU!J6</f>
        <v>0.83333333333333304</v>
      </c>
      <c r="M60" s="82"/>
      <c r="N60" s="78"/>
      <c r="O60" s="79">
        <f>+ACCU!J7</f>
        <v>0.83333333333333304</v>
      </c>
      <c r="P60" s="82"/>
      <c r="Q60" s="78"/>
      <c r="R60" s="81"/>
      <c r="S60" s="82"/>
      <c r="T60" s="78"/>
      <c r="U60" s="81"/>
      <c r="V60" s="83"/>
      <c r="W60" s="87" t="str">
        <f>IFERROR(AVERAGE(B60,E60,H60,K60,N60,Q60,T60),"")</f>
        <v/>
      </c>
      <c r="X60" s="88">
        <f t="shared" si="14"/>
        <v>0.83333333333333326</v>
      </c>
      <c r="Y60" s="122" t="str">
        <f t="shared" si="14"/>
        <v/>
      </c>
    </row>
    <row r="61" spans="1:25" ht="16.5" thickBot="1" x14ac:dyDescent="0.3">
      <c r="A61" s="90" t="s">
        <v>113</v>
      </c>
      <c r="B61" s="108"/>
      <c r="C61" s="109">
        <f>+ACCU!G16</f>
        <v>0.44444444444444448</v>
      </c>
      <c r="D61" s="111"/>
      <c r="E61" s="91"/>
      <c r="F61" s="120">
        <f>+ACCU!G17</f>
        <v>0.44097222222222227</v>
      </c>
      <c r="G61" s="93"/>
      <c r="H61" s="91"/>
      <c r="I61" s="120">
        <f>+ACCU!G18</f>
        <v>0.45486111111111077</v>
      </c>
      <c r="J61" s="93"/>
      <c r="K61" s="91"/>
      <c r="L61" s="120">
        <f>+ACCU!G19</f>
        <v>0.43263888888888852</v>
      </c>
      <c r="M61" s="93"/>
      <c r="N61" s="91"/>
      <c r="O61" s="120">
        <f>+ACCU!G20</f>
        <v>0.42708333333333309</v>
      </c>
      <c r="P61" s="93"/>
      <c r="Q61" s="91"/>
      <c r="R61" s="92"/>
      <c r="S61" s="93"/>
      <c r="T61" s="91"/>
      <c r="U61" s="92"/>
      <c r="V61" s="94"/>
      <c r="W61" s="95" t="str">
        <f>IFERROR(AVERAGE(B61,E61,H61,K61,N61,Q61,T61),"")</f>
        <v/>
      </c>
      <c r="X61" s="96">
        <f t="shared" si="14"/>
        <v>0.43999999999999984</v>
      </c>
      <c r="Y61" s="123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C7"/>
  <sheetViews>
    <sheetView workbookViewId="0">
      <selection activeCell="N7" sqref="N7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2" spans="2:29" ht="16.5" thickBot="1" x14ac:dyDescent="0.3"/>
    <row r="3" spans="2:29" ht="16.5" thickBot="1" x14ac:dyDescent="0.3">
      <c r="B3" s="137"/>
      <c r="C3" s="190">
        <f>'TTE 6 '!C3</f>
        <v>44928</v>
      </c>
      <c r="D3" s="191"/>
      <c r="E3" s="191"/>
      <c r="F3" s="190">
        <f>+'TTE 6 '!C4</f>
        <v>44929</v>
      </c>
      <c r="G3" s="191"/>
      <c r="H3" s="191"/>
      <c r="I3" s="190">
        <f>'TTE 6 '!C5</f>
        <v>44930</v>
      </c>
      <c r="J3" s="191"/>
      <c r="K3" s="191"/>
      <c r="L3" s="190">
        <f>'TTE 6 '!C6</f>
        <v>44931</v>
      </c>
      <c r="M3" s="191"/>
      <c r="N3" s="191"/>
      <c r="O3" s="190">
        <f>+'TTE 6 '!C7</f>
        <v>44932</v>
      </c>
      <c r="P3" s="191"/>
      <c r="Q3" s="191"/>
      <c r="R3" s="190">
        <f>'TTE 6 '!C8</f>
        <v>44933</v>
      </c>
      <c r="S3" s="191"/>
      <c r="T3" s="191"/>
      <c r="U3" s="190">
        <f>'TTE 6 '!C9</f>
        <v>44934</v>
      </c>
      <c r="V3" s="191"/>
      <c r="W3" s="191"/>
      <c r="X3" s="195" t="s">
        <v>107</v>
      </c>
      <c r="Y3" s="196"/>
      <c r="Z3" s="197"/>
      <c r="AA3" s="188" t="s">
        <v>122</v>
      </c>
      <c r="AC3" s="192" t="s">
        <v>128</v>
      </c>
    </row>
    <row r="4" spans="2:29" ht="16.5" thickBot="1" x14ac:dyDescent="0.3">
      <c r="B4" s="137"/>
      <c r="C4" s="142" t="s">
        <v>108</v>
      </c>
      <c r="D4" s="143" t="s">
        <v>103</v>
      </c>
      <c r="E4" s="144" t="s">
        <v>104</v>
      </c>
      <c r="F4" s="142" t="s">
        <v>108</v>
      </c>
      <c r="G4" s="143" t="s">
        <v>103</v>
      </c>
      <c r="H4" s="144" t="s">
        <v>104</v>
      </c>
      <c r="I4" s="142" t="s">
        <v>108</v>
      </c>
      <c r="J4" s="143" t="s">
        <v>103</v>
      </c>
      <c r="K4" s="144" t="s">
        <v>104</v>
      </c>
      <c r="L4" s="142" t="s">
        <v>108</v>
      </c>
      <c r="M4" s="143" t="s">
        <v>103</v>
      </c>
      <c r="N4" s="144" t="s">
        <v>104</v>
      </c>
      <c r="O4" s="142" t="s">
        <v>108</v>
      </c>
      <c r="P4" s="143" t="s">
        <v>103</v>
      </c>
      <c r="Q4" s="144" t="s">
        <v>104</v>
      </c>
      <c r="R4" s="142" t="s">
        <v>108</v>
      </c>
      <c r="S4" s="143" t="s">
        <v>103</v>
      </c>
      <c r="T4" s="144" t="s">
        <v>104</v>
      </c>
      <c r="U4" s="142" t="s">
        <v>108</v>
      </c>
      <c r="V4" s="143" t="s">
        <v>103</v>
      </c>
      <c r="W4" s="144" t="s">
        <v>104</v>
      </c>
      <c r="X4" s="142" t="s">
        <v>108</v>
      </c>
      <c r="Y4" s="143" t="s">
        <v>103</v>
      </c>
      <c r="Z4" s="151" t="s">
        <v>104</v>
      </c>
      <c r="AA4" s="189"/>
      <c r="AC4" s="193"/>
    </row>
    <row r="5" spans="2:29" ht="16.5" thickBot="1" x14ac:dyDescent="0.3">
      <c r="B5" s="138" t="s">
        <v>123</v>
      </c>
      <c r="C5" s="185" t="s">
        <v>124</v>
      </c>
      <c r="D5" s="186"/>
      <c r="E5" s="187"/>
      <c r="F5" s="185" t="s">
        <v>124</v>
      </c>
      <c r="G5" s="186"/>
      <c r="H5" s="187"/>
      <c r="I5" s="185" t="s">
        <v>124</v>
      </c>
      <c r="J5" s="186"/>
      <c r="K5" s="187"/>
      <c r="L5" s="185" t="s">
        <v>124</v>
      </c>
      <c r="M5" s="186"/>
      <c r="N5" s="187"/>
      <c r="O5" s="185" t="s">
        <v>124</v>
      </c>
      <c r="P5" s="186"/>
      <c r="Q5" s="187"/>
      <c r="R5" s="185" t="s">
        <v>124</v>
      </c>
      <c r="S5" s="186"/>
      <c r="T5" s="187"/>
      <c r="U5" s="185" t="s">
        <v>124</v>
      </c>
      <c r="V5" s="186"/>
      <c r="W5" s="187"/>
      <c r="X5" s="185" t="s">
        <v>124</v>
      </c>
      <c r="Y5" s="186"/>
      <c r="Z5" s="186"/>
      <c r="AA5" s="139" t="s">
        <v>125</v>
      </c>
      <c r="AB5" s="160" t="s">
        <v>129</v>
      </c>
      <c r="AC5" s="194"/>
    </row>
    <row r="6" spans="2:29" ht="27.75" thickBot="1" x14ac:dyDescent="0.3">
      <c r="B6" s="140" t="s">
        <v>126</v>
      </c>
      <c r="C6" s="148"/>
      <c r="D6" s="149"/>
      <c r="E6" s="150"/>
      <c r="F6" s="148"/>
      <c r="G6" s="149"/>
      <c r="H6" s="150"/>
      <c r="I6" s="148"/>
      <c r="J6" s="149"/>
      <c r="K6" s="150"/>
      <c r="L6" s="148"/>
      <c r="M6" s="149"/>
      <c r="N6" s="150">
        <v>8</v>
      </c>
      <c r="O6" s="148"/>
      <c r="P6" s="149"/>
      <c r="Q6" s="150"/>
      <c r="R6" s="148"/>
      <c r="S6" s="149"/>
      <c r="T6" s="150"/>
      <c r="U6" s="148"/>
      <c r="V6" s="149"/>
      <c r="W6" s="150"/>
      <c r="X6" s="135">
        <f>C6+F6+I6+L6+O6+R6+U6</f>
        <v>0</v>
      </c>
      <c r="Y6" s="135">
        <f>D6+G6+J6+M6+P6+S6+V6</f>
        <v>0</v>
      </c>
      <c r="Z6" s="152">
        <f>E6+H6+K6+N6+Q6+T6+W6</f>
        <v>8</v>
      </c>
      <c r="AA6" s="154">
        <f>X6+Y6+Z6</f>
        <v>8</v>
      </c>
      <c r="AB6" s="158">
        <f>AA6/AC6</f>
        <v>0.53333333333333333</v>
      </c>
      <c r="AC6" s="158">
        <v>15</v>
      </c>
    </row>
    <row r="7" spans="2:29" ht="27.75" thickBot="1" x14ac:dyDescent="0.3">
      <c r="B7" s="141" t="s">
        <v>127</v>
      </c>
      <c r="C7" s="145"/>
      <c r="D7" s="146"/>
      <c r="E7" s="147"/>
      <c r="F7" s="145"/>
      <c r="G7" s="146">
        <v>6</v>
      </c>
      <c r="H7" s="147"/>
      <c r="I7" s="145"/>
      <c r="J7" s="146">
        <v>2</v>
      </c>
      <c r="K7" s="147"/>
      <c r="L7" s="145"/>
      <c r="M7" s="146">
        <v>1</v>
      </c>
      <c r="N7" s="147"/>
      <c r="O7" s="145"/>
      <c r="P7" s="146">
        <v>5</v>
      </c>
      <c r="Q7" s="147"/>
      <c r="R7" s="145"/>
      <c r="S7" s="146"/>
      <c r="T7" s="147"/>
      <c r="U7" s="145"/>
      <c r="V7" s="146"/>
      <c r="W7" s="147"/>
      <c r="X7" s="136">
        <f>C7+F7+I7+L7+O7+R7+C7</f>
        <v>0</v>
      </c>
      <c r="Y7" s="136">
        <f>D7+G7+J7+M7+P7+S7+V7</f>
        <v>14</v>
      </c>
      <c r="Z7" s="136">
        <f>E7+H7+K7+N7+Q7+T7+W7</f>
        <v>0</v>
      </c>
      <c r="AA7" s="153">
        <f>X7+Y7+Z7</f>
        <v>14</v>
      </c>
      <c r="AB7" s="161">
        <f>AA7/AC7</f>
        <v>0.93333333333333335</v>
      </c>
      <c r="AC7" s="159">
        <v>15</v>
      </c>
    </row>
  </sheetData>
  <mergeCells count="18">
    <mergeCell ref="L5:N5"/>
    <mergeCell ref="O5:Q5"/>
    <mergeCell ref="R5:T5"/>
    <mergeCell ref="AA3:AA4"/>
    <mergeCell ref="C3:E3"/>
    <mergeCell ref="C5:E5"/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G7" sqref="G7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95</v>
      </c>
      <c r="B3" s="8" t="s">
        <v>37</v>
      </c>
      <c r="C3" s="2">
        <f>+Tabla5[[#This Row],[FECHA]]</f>
        <v>44928</v>
      </c>
      <c r="D3" s="29"/>
      <c r="E3" s="29"/>
      <c r="F3" s="29"/>
      <c r="G3" s="27"/>
      <c r="H3" s="27"/>
      <c r="I3" s="27"/>
      <c r="J3" s="27"/>
      <c r="K3" s="37" t="s">
        <v>130</v>
      </c>
      <c r="L3" s="38"/>
      <c r="M3" s="38"/>
      <c r="N3" s="39" t="s">
        <v>15</v>
      </c>
      <c r="O3" s="2">
        <f>Tabla513[[#This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+Tabla513[[#This Row],[ALMUERZO]]-Tabla513[[#This Row],[TERMINO ACT. AM]]</f>
        <v>0</v>
      </c>
      <c r="U3" s="1">
        <f>+Tabla513[[#This Row],[INICIO ACTIVIDADES PM]]-Tabla513[[#This Row],[ALMUERZO]]</f>
        <v>0</v>
      </c>
      <c r="V3" s="1">
        <f>+Tabla513[[#This Row],[TERMINO ACTIVIDADES PM]]-Tabla513[[#This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95</v>
      </c>
      <c r="B4" s="8" t="s">
        <v>26</v>
      </c>
      <c r="C4" s="2">
        <f>+Tabla5[[#This Row],[FECHA]]</f>
        <v>44929</v>
      </c>
      <c r="D4" s="29">
        <v>0.33888888888888885</v>
      </c>
      <c r="E4" s="29">
        <v>0.36805555555555558</v>
      </c>
      <c r="F4" s="29">
        <v>0.3833333333333333</v>
      </c>
      <c r="G4" s="27">
        <v>0.60277777777777775</v>
      </c>
      <c r="H4" s="27">
        <v>0.61111111111111105</v>
      </c>
      <c r="I4" s="27">
        <v>0.64027777777777783</v>
      </c>
      <c r="J4" s="27">
        <v>0.66319444444444442</v>
      </c>
      <c r="K4" s="37" t="s">
        <v>90</v>
      </c>
      <c r="M4" s="3"/>
      <c r="N4" s="3" t="s">
        <v>16</v>
      </c>
      <c r="O4" s="2">
        <f>Tabla513[[#This Row],[FECHA]]</f>
        <v>44929</v>
      </c>
      <c r="P4" s="1">
        <f>D4</f>
        <v>0.33888888888888885</v>
      </c>
      <c r="Q4" s="1">
        <f t="shared" ref="Q4:S7" si="0">E4-D4</f>
        <v>2.916666666666673E-2</v>
      </c>
      <c r="R4" s="1">
        <f t="shared" si="0"/>
        <v>1.5277777777777724E-2</v>
      </c>
      <c r="S4" s="1">
        <f t="shared" si="0"/>
        <v>0.21944444444444444</v>
      </c>
      <c r="T4" s="1">
        <f>+Tabla513[[#This Row],[ALMUERZO]]-Tabla513[[#This Row],[TERMINO ACT. AM]]</f>
        <v>8.3333333333333037E-3</v>
      </c>
      <c r="U4" s="1">
        <f>+Tabla513[[#This Row],[INICIO ACTIVIDADES PM]]-Tabla513[[#This Row],[ALMUERZO]]</f>
        <v>2.9166666666666785E-2</v>
      </c>
      <c r="V4" s="1">
        <f>+Tabla513[[#This Row],[TERMINO ACTIVIDADES PM]]-Tabla513[[#This Row],[INICIO ACTIVIDADES PM]]</f>
        <v>2.2916666666666585E-2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95</v>
      </c>
      <c r="B5" s="8" t="s">
        <v>27</v>
      </c>
      <c r="C5" s="2">
        <f>+Tabla5[[#This Row],[FECHA]]</f>
        <v>44930</v>
      </c>
      <c r="D5" s="29">
        <v>0.34027777777777773</v>
      </c>
      <c r="E5" s="29">
        <v>0.36805555555555558</v>
      </c>
      <c r="F5" s="29">
        <v>0.38125000000000003</v>
      </c>
      <c r="G5" s="27">
        <v>0.60069444444444442</v>
      </c>
      <c r="H5" s="27">
        <v>0.60416666666666663</v>
      </c>
      <c r="I5" s="27">
        <v>0.63541666666666663</v>
      </c>
      <c r="J5" s="27">
        <v>0.66319444444444442</v>
      </c>
      <c r="K5" s="37" t="s">
        <v>90</v>
      </c>
      <c r="M5" s="3"/>
      <c r="N5" s="3" t="s">
        <v>16</v>
      </c>
      <c r="O5" s="2">
        <f>Tabla513[[#This Row],[FECHA]]</f>
        <v>44930</v>
      </c>
      <c r="P5" s="1">
        <f>D5</f>
        <v>0.34027777777777773</v>
      </c>
      <c r="Q5" s="1">
        <f t="shared" si="0"/>
        <v>2.7777777777777846E-2</v>
      </c>
      <c r="R5" s="1">
        <f t="shared" si="0"/>
        <v>1.3194444444444453E-2</v>
      </c>
      <c r="S5" s="1">
        <f t="shared" si="0"/>
        <v>0.21944444444444439</v>
      </c>
      <c r="T5" s="1">
        <f>+Tabla513[[#This Row],[ALMUERZO]]-Tabla513[[#This Row],[TERMINO ACT. AM]]</f>
        <v>3.4722222222222099E-3</v>
      </c>
      <c r="U5" s="1">
        <f>+Tabla513[[#This Row],[INICIO ACTIVIDADES PM]]-Tabla513[[#This Row],[ALMUERZO]]</f>
        <v>3.125E-2</v>
      </c>
      <c r="V5" s="1">
        <f>+Tabla513[[#This Row],[TERMINO ACTIVIDADES PM]]-Tabla513[[#This Row],[INICIO ACTIVIDADES PM]]</f>
        <v>2.777777777777779E-2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95</v>
      </c>
      <c r="B6" s="8" t="s">
        <v>28</v>
      </c>
      <c r="C6" s="2">
        <f>+Tabla5[[#This Row],[FECHA]]</f>
        <v>44931</v>
      </c>
      <c r="D6" s="29">
        <v>0.34375</v>
      </c>
      <c r="E6" s="29">
        <v>0.37222222222222223</v>
      </c>
      <c r="F6" s="29">
        <v>0.38194444444444442</v>
      </c>
      <c r="G6" s="27">
        <v>0.61111111111111105</v>
      </c>
      <c r="H6" s="29">
        <v>0.61805555555555558</v>
      </c>
      <c r="I6" s="27">
        <v>0.64583333333333337</v>
      </c>
      <c r="J6" s="27">
        <v>0.66319444444444442</v>
      </c>
      <c r="K6" s="37" t="s">
        <v>90</v>
      </c>
      <c r="M6" s="3"/>
      <c r="N6" s="3" t="s">
        <v>17</v>
      </c>
      <c r="O6" s="2">
        <f>Tabla513[[#This Row],[FECHA]]</f>
        <v>44931</v>
      </c>
      <c r="P6" s="1">
        <f>D6</f>
        <v>0.34375</v>
      </c>
      <c r="Q6" s="1">
        <f t="shared" si="0"/>
        <v>2.8472222222222232E-2</v>
      </c>
      <c r="R6" s="1">
        <f t="shared" si="0"/>
        <v>9.7222222222221877E-3</v>
      </c>
      <c r="S6" s="1">
        <f t="shared" si="0"/>
        <v>0.22916666666666663</v>
      </c>
      <c r="T6" s="1">
        <f>+Tabla513[[#This Row],[ALMUERZO]]-Tabla513[[#This Row],[TERMINO ACT. AM]]</f>
        <v>6.9444444444445308E-3</v>
      </c>
      <c r="U6" s="1">
        <f>+Tabla513[[#This Row],[INICIO ACTIVIDADES PM]]-Tabla513[[#This Row],[ALMUERZO]]</f>
        <v>2.777777777777779E-2</v>
      </c>
      <c r="V6" s="1">
        <f>+Tabla513[[#This Row],[TERMINO ACTIVIDADES PM]]-Tabla513[[#This Row],[INICIO ACTIVIDADES PM]]</f>
        <v>1.7361111111111049E-2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95</v>
      </c>
      <c r="B7" s="8" t="s">
        <v>38</v>
      </c>
      <c r="C7" s="2">
        <f>+Tabla5[[#This Row],[FECHA]]</f>
        <v>44932</v>
      </c>
      <c r="D7" s="29">
        <v>0.34375</v>
      </c>
      <c r="E7" s="29">
        <v>0.37083333333333335</v>
      </c>
      <c r="F7" s="29">
        <v>0.38125000000000003</v>
      </c>
      <c r="G7" s="27">
        <v>0.60416666666666663</v>
      </c>
      <c r="H7" s="27">
        <v>0.61458333333333337</v>
      </c>
      <c r="I7" s="27">
        <v>0.64236111111111105</v>
      </c>
      <c r="J7" s="27">
        <v>0.66319444444444442</v>
      </c>
      <c r="K7" s="37" t="s">
        <v>90</v>
      </c>
      <c r="M7" s="3"/>
      <c r="N7" s="3" t="s">
        <v>18</v>
      </c>
      <c r="O7" s="2">
        <f>Tabla513[[#This Row],[FECHA]]</f>
        <v>44932</v>
      </c>
      <c r="P7" s="1">
        <f>D7</f>
        <v>0.34375</v>
      </c>
      <c r="Q7" s="1">
        <f t="shared" si="0"/>
        <v>2.7083333333333348E-2</v>
      </c>
      <c r="R7" s="1">
        <f t="shared" si="0"/>
        <v>1.0416666666666685E-2</v>
      </c>
      <c r="S7" s="1">
        <f t="shared" si="0"/>
        <v>0.2229166666666666</v>
      </c>
      <c r="T7" s="1">
        <f>+Tabla513[[#This Row],[ALMUERZO]]-Tabla513[[#This Row],[TERMINO ACT. AM]]</f>
        <v>1.0416666666666741E-2</v>
      </c>
      <c r="U7" s="1">
        <f>+Tabla513[[#This Row],[INICIO ACTIVIDADES PM]]-Tabla513[[#This Row],[ALMUERZO]]</f>
        <v>2.7777777777777679E-2</v>
      </c>
      <c r="V7" s="1">
        <f>+Tabla513[[#This Row],[TERMINO ACTIVIDADES PM]]-Tabla513[[#This Row],[INICIO ACTIVIDADES PM]]</f>
        <v>2.083333333333337E-2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Tabla513[[#This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7"/>
      <c r="K10" s="30"/>
      <c r="M10" s="3"/>
      <c r="N10" s="3"/>
      <c r="O10" s="2"/>
      <c r="T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7"/>
      <c r="K12" s="30"/>
      <c r="M12" s="3"/>
      <c r="N12" s="3"/>
      <c r="O12" s="2"/>
      <c r="T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7"/>
      <c r="I13" s="7"/>
      <c r="J13" s="7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77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0.24236111111111103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0.24722222222222218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0.24652777777777768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0.24374999999999997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0.24496527777777771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0.97986111111111085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62" t="s">
        <v>105</v>
      </c>
      <c r="I29" s="163" t="s">
        <v>103</v>
      </c>
      <c r="T29" s="1"/>
    </row>
    <row r="30" spans="1:20" ht="15.6" customHeight="1" x14ac:dyDescent="0.25">
      <c r="H30" s="162"/>
      <c r="I30" s="164"/>
      <c r="T30" s="1"/>
    </row>
    <row r="31" spans="1:20" ht="15.6" customHeight="1" x14ac:dyDescent="0.25">
      <c r="H31" s="162"/>
      <c r="I31" s="164"/>
      <c r="T31" s="1"/>
    </row>
    <row r="32" spans="1:20" ht="15.6" customHeight="1" x14ac:dyDescent="0.25">
      <c r="H32" s="162"/>
      <c r="I32" s="165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63"/>
    </row>
    <row r="23" spans="1:1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64"/>
    </row>
    <row r="24" spans="1:1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64"/>
    </row>
    <row r="25" spans="1:1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B2" sqref="B2:I90"/>
    </sheetView>
  </sheetViews>
  <sheetFormatPr baseColWidth="10" defaultColWidth="10.875" defaultRowHeight="15.75" x14ac:dyDescent="0.25"/>
  <cols>
    <col min="2" max="2" width="25.375" customWidth="1"/>
  </cols>
  <sheetData>
    <row r="1" spans="2:9" ht="16.5" thickBot="1" x14ac:dyDescent="0.3"/>
    <row r="2" spans="2:9" ht="19.5" thickBot="1" x14ac:dyDescent="0.35">
      <c r="B2" s="198" t="s">
        <v>67</v>
      </c>
      <c r="C2" s="199"/>
      <c r="D2" s="199"/>
      <c r="E2" s="199"/>
      <c r="F2" s="199"/>
      <c r="G2" s="199"/>
      <c r="H2" s="199"/>
      <c r="I2" s="200"/>
    </row>
    <row r="3" spans="2:9" ht="32.25" thickBot="1" x14ac:dyDescent="0.3">
      <c r="B3" s="42" t="s">
        <v>2</v>
      </c>
      <c r="C3" s="42" t="s">
        <v>0</v>
      </c>
      <c r="D3" s="42" t="s">
        <v>3</v>
      </c>
      <c r="E3" s="42" t="s">
        <v>4</v>
      </c>
      <c r="F3" s="42" t="s">
        <v>5</v>
      </c>
      <c r="G3" s="42" t="s">
        <v>6</v>
      </c>
      <c r="H3" s="42" t="s">
        <v>7</v>
      </c>
      <c r="I3" s="42" t="s">
        <v>8</v>
      </c>
    </row>
    <row r="4" spans="2:9" ht="16.5" thickBot="1" x14ac:dyDescent="0.3">
      <c r="B4" s="43" t="s">
        <v>68</v>
      </c>
      <c r="C4" s="44">
        <v>0.3263888888888889</v>
      </c>
      <c r="D4" s="45"/>
      <c r="E4" s="45"/>
      <c r="F4" s="45"/>
      <c r="G4" s="45"/>
      <c r="H4" s="45"/>
      <c r="I4" s="45" t="e">
        <f t="shared" ref="I4:I9" si="0">AVERAGE(D4:H4)</f>
        <v>#DIV/0!</v>
      </c>
    </row>
    <row r="5" spans="2:9" ht="16.5" thickBot="1" x14ac:dyDescent="0.3">
      <c r="B5" s="46" t="s">
        <v>69</v>
      </c>
      <c r="C5" s="47">
        <v>0.35416666666666669</v>
      </c>
      <c r="D5" s="48"/>
      <c r="E5" s="48"/>
      <c r="F5" s="48"/>
      <c r="G5" s="48"/>
      <c r="H5" s="48"/>
      <c r="I5" s="48" t="e">
        <f t="shared" si="0"/>
        <v>#DIV/0!</v>
      </c>
    </row>
    <row r="6" spans="2:9" ht="16.5" thickBot="1" x14ac:dyDescent="0.3">
      <c r="B6" s="46" t="s">
        <v>70</v>
      </c>
      <c r="C6" s="47">
        <v>0.375</v>
      </c>
      <c r="D6" s="48"/>
      <c r="E6" s="48"/>
      <c r="F6" s="48"/>
      <c r="G6" s="48"/>
      <c r="H6" s="48"/>
      <c r="I6" s="48" t="e">
        <f t="shared" si="0"/>
        <v>#DIV/0!</v>
      </c>
    </row>
    <row r="7" spans="2:9" ht="16.5" thickBot="1" x14ac:dyDescent="0.3">
      <c r="B7" s="46" t="s">
        <v>71</v>
      </c>
      <c r="C7" s="47">
        <v>0.60416666666666663</v>
      </c>
      <c r="D7" s="48"/>
      <c r="E7" s="48"/>
      <c r="F7" s="48"/>
      <c r="G7" s="48"/>
      <c r="H7" s="48"/>
      <c r="I7" s="48" t="e">
        <f t="shared" si="0"/>
        <v>#DIV/0!</v>
      </c>
    </row>
    <row r="8" spans="2:9" ht="16.5" thickBot="1" x14ac:dyDescent="0.3">
      <c r="B8" s="46" t="s">
        <v>68</v>
      </c>
      <c r="C8" s="47">
        <v>0.61458333333333337</v>
      </c>
      <c r="D8" s="48"/>
      <c r="E8" s="48"/>
      <c r="F8" s="48"/>
      <c r="G8" s="48"/>
      <c r="H8" s="48"/>
      <c r="I8" s="48" t="e">
        <f t="shared" si="0"/>
        <v>#DIV/0!</v>
      </c>
    </row>
    <row r="9" spans="2:9" ht="16.5" thickBot="1" x14ac:dyDescent="0.3">
      <c r="B9" s="49" t="s">
        <v>72</v>
      </c>
      <c r="C9" s="50">
        <v>0.65277777777777779</v>
      </c>
      <c r="D9" s="51"/>
      <c r="E9" s="51"/>
      <c r="F9" s="51"/>
      <c r="G9" s="51"/>
      <c r="H9" s="51"/>
      <c r="I9" s="51" t="e">
        <f t="shared" si="0"/>
        <v>#DIV/0!</v>
      </c>
    </row>
    <row r="10" spans="2:9" ht="16.5" thickBot="1" x14ac:dyDescent="0.3"/>
    <row r="11" spans="2:9" ht="19.5" thickBot="1" x14ac:dyDescent="0.35">
      <c r="B11" s="198" t="s">
        <v>73</v>
      </c>
      <c r="C11" s="199"/>
      <c r="D11" s="199"/>
      <c r="E11" s="199"/>
      <c r="F11" s="199"/>
      <c r="G11" s="199"/>
      <c r="H11" s="199"/>
      <c r="I11" s="200"/>
    </row>
    <row r="12" spans="2:9" ht="32.25" thickBot="1" x14ac:dyDescent="0.3">
      <c r="B12" s="42" t="s">
        <v>2</v>
      </c>
      <c r="C12" s="42" t="s">
        <v>0</v>
      </c>
      <c r="D12" s="42" t="s">
        <v>3</v>
      </c>
      <c r="E12" s="42" t="s">
        <v>4</v>
      </c>
      <c r="F12" s="42" t="s">
        <v>5</v>
      </c>
      <c r="G12" s="42" t="s">
        <v>6</v>
      </c>
      <c r="H12" s="42" t="s">
        <v>7</v>
      </c>
      <c r="I12" s="42" t="s">
        <v>8</v>
      </c>
    </row>
    <row r="13" spans="2:9" ht="16.5" thickBot="1" x14ac:dyDescent="0.3">
      <c r="B13" s="43" t="s">
        <v>68</v>
      </c>
      <c r="C13" s="44">
        <v>0.32291666666666669</v>
      </c>
      <c r="D13" s="45"/>
      <c r="E13" s="45"/>
      <c r="F13" s="45"/>
      <c r="G13" s="45"/>
      <c r="H13" s="45"/>
      <c r="I13" s="45" t="e">
        <f t="shared" ref="I13:I18" si="1">AVERAGE(D13:H13)</f>
        <v>#DIV/0!</v>
      </c>
    </row>
    <row r="14" spans="2:9" ht="16.5" thickBot="1" x14ac:dyDescent="0.3">
      <c r="B14" s="46" t="s">
        <v>69</v>
      </c>
      <c r="C14" s="47">
        <v>0.34027777777777773</v>
      </c>
      <c r="D14" s="48"/>
      <c r="E14" s="48"/>
      <c r="F14" s="48"/>
      <c r="G14" s="48"/>
      <c r="H14" s="48"/>
      <c r="I14" s="48" t="e">
        <f t="shared" si="1"/>
        <v>#DIV/0!</v>
      </c>
    </row>
    <row r="15" spans="2:9" ht="16.5" thickBot="1" x14ac:dyDescent="0.3">
      <c r="B15" s="46" t="s">
        <v>70</v>
      </c>
      <c r="C15" s="47">
        <v>0.34722222222222227</v>
      </c>
      <c r="D15" s="48"/>
      <c r="E15" s="48"/>
      <c r="F15" s="48"/>
      <c r="G15" s="48"/>
      <c r="H15" s="48"/>
      <c r="I15" s="48" t="e">
        <f t="shared" si="1"/>
        <v>#DIV/0!</v>
      </c>
    </row>
    <row r="16" spans="2:9" ht="16.5" thickBot="1" x14ac:dyDescent="0.3">
      <c r="B16" s="46" t="s">
        <v>71</v>
      </c>
      <c r="C16" s="47">
        <v>0.625</v>
      </c>
      <c r="D16" s="48"/>
      <c r="E16" s="48"/>
      <c r="F16" s="48"/>
      <c r="G16" s="48"/>
      <c r="H16" s="48"/>
      <c r="I16" s="48" t="e">
        <f t="shared" si="1"/>
        <v>#DIV/0!</v>
      </c>
    </row>
    <row r="17" spans="2:9" ht="16.5" thickBot="1" x14ac:dyDescent="0.3">
      <c r="B17" s="46" t="s">
        <v>68</v>
      </c>
      <c r="C17" s="47">
        <v>0.63888888888888895</v>
      </c>
      <c r="D17" s="48"/>
      <c r="E17" s="48"/>
      <c r="F17" s="48"/>
      <c r="G17" s="48"/>
      <c r="H17" s="48"/>
      <c r="I17" s="48" t="e">
        <f t="shared" si="1"/>
        <v>#DIV/0!</v>
      </c>
    </row>
    <row r="18" spans="2:9" ht="16.5" thickBot="1" x14ac:dyDescent="0.3">
      <c r="B18" s="49" t="s">
        <v>72</v>
      </c>
      <c r="C18" s="50">
        <v>0.66666666666666663</v>
      </c>
      <c r="D18" s="51"/>
      <c r="E18" s="51"/>
      <c r="F18" s="51"/>
      <c r="G18" s="51"/>
      <c r="H18" s="51"/>
      <c r="I18" s="51" t="e">
        <f t="shared" si="1"/>
        <v>#DIV/0!</v>
      </c>
    </row>
    <row r="19" spans="2:9" ht="16.5" thickBot="1" x14ac:dyDescent="0.3"/>
    <row r="20" spans="2:9" ht="19.5" thickBot="1" x14ac:dyDescent="0.35">
      <c r="B20" s="198" t="s">
        <v>74</v>
      </c>
      <c r="C20" s="199"/>
      <c r="D20" s="199"/>
      <c r="E20" s="199"/>
      <c r="F20" s="199"/>
      <c r="G20" s="199"/>
      <c r="H20" s="199"/>
      <c r="I20" s="200"/>
    </row>
    <row r="21" spans="2:9" ht="32.25" thickBot="1" x14ac:dyDescent="0.3">
      <c r="B21" s="42" t="s">
        <v>2</v>
      </c>
      <c r="C21" s="42" t="s">
        <v>0</v>
      </c>
      <c r="D21" s="42" t="s">
        <v>3</v>
      </c>
      <c r="E21" s="42" t="s">
        <v>4</v>
      </c>
      <c r="F21" s="42" t="s">
        <v>5</v>
      </c>
      <c r="G21" s="42" t="s">
        <v>6</v>
      </c>
      <c r="H21" s="42" t="s">
        <v>7</v>
      </c>
      <c r="I21" s="42" t="s">
        <v>8</v>
      </c>
    </row>
    <row r="22" spans="2:9" ht="16.5" thickBot="1" x14ac:dyDescent="0.3">
      <c r="B22" s="43" t="s">
        <v>68</v>
      </c>
      <c r="C22" s="44">
        <v>0.66666666666666663</v>
      </c>
      <c r="D22" s="45"/>
      <c r="E22" s="45"/>
      <c r="F22" s="45"/>
      <c r="G22" s="45"/>
      <c r="H22" s="45"/>
      <c r="I22" s="45" t="e">
        <f t="shared" ref="I22:I27" si="2">AVERAGE(D22:H22)</f>
        <v>#DIV/0!</v>
      </c>
    </row>
    <row r="23" spans="2:9" ht="16.5" thickBot="1" x14ac:dyDescent="0.3">
      <c r="B23" s="46" t="s">
        <v>69</v>
      </c>
      <c r="C23" s="47">
        <v>0.69791666666666663</v>
      </c>
      <c r="D23" s="48"/>
      <c r="E23" s="48"/>
      <c r="F23" s="48"/>
      <c r="G23" s="48"/>
      <c r="H23" s="48"/>
      <c r="I23" s="48" t="e">
        <f t="shared" si="2"/>
        <v>#DIV/0!</v>
      </c>
    </row>
    <row r="24" spans="2:9" ht="16.5" thickBot="1" x14ac:dyDescent="0.3">
      <c r="B24" s="46" t="s">
        <v>70</v>
      </c>
      <c r="C24" s="47">
        <v>0.71180555555555547</v>
      </c>
      <c r="D24" s="48"/>
      <c r="E24" s="48"/>
      <c r="F24" s="48"/>
      <c r="G24" s="48"/>
      <c r="H24" s="48"/>
      <c r="I24" s="48" t="e">
        <f t="shared" si="2"/>
        <v>#DIV/0!</v>
      </c>
    </row>
    <row r="25" spans="2:9" ht="16.5" thickBot="1" x14ac:dyDescent="0.3">
      <c r="B25" s="46" t="s">
        <v>71</v>
      </c>
      <c r="C25" s="47">
        <v>0.94791666666666663</v>
      </c>
      <c r="D25" s="48"/>
      <c r="E25" s="48"/>
      <c r="F25" s="48"/>
      <c r="G25" s="48"/>
      <c r="H25" s="48"/>
      <c r="I25" s="48" t="e">
        <f t="shared" si="2"/>
        <v>#DIV/0!</v>
      </c>
    </row>
    <row r="26" spans="2:9" ht="16.5" thickBot="1" x14ac:dyDescent="0.3">
      <c r="B26" s="46" t="s">
        <v>68</v>
      </c>
      <c r="C26" s="47">
        <v>0.95833333333333337</v>
      </c>
      <c r="D26" s="48"/>
      <c r="E26" s="48"/>
      <c r="F26" s="48"/>
      <c r="G26" s="48"/>
      <c r="H26" s="48"/>
      <c r="I26" s="48" t="e">
        <f t="shared" si="2"/>
        <v>#DIV/0!</v>
      </c>
    </row>
    <row r="27" spans="2:9" ht="16.5" thickBot="1" x14ac:dyDescent="0.3">
      <c r="B27" s="49" t="s">
        <v>72</v>
      </c>
      <c r="C27" s="50">
        <v>0.98611111111111116</v>
      </c>
      <c r="D27" s="51"/>
      <c r="E27" s="51"/>
      <c r="F27" s="51"/>
      <c r="G27" s="51"/>
      <c r="H27" s="51"/>
      <c r="I27" s="51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G8" sqref="G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8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</row>
    <row r="3" spans="1:28" x14ac:dyDescent="0.25">
      <c r="A3" s="8" t="s">
        <v>96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Tabla51334[[#This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+Tabla51334[[#This Row],[ALMUERZO]]-Tabla51334[[#This Row],[TERMINO ACT. AM]]</f>
        <v>0</v>
      </c>
      <c r="U3" s="1">
        <f>+Tabla51334[[#This Row],[INICIO ACTIVIDADES PM]]-Tabla51334[[#This Row],[ALMUERZO]]</f>
        <v>0</v>
      </c>
      <c r="V3" s="1">
        <f>+Tabla51334[[#This Row],[TERMINO ACTIVIDADES PM]]-Tabla51334[[#This Row],[INICIO ACTIVIDADES PM]]</f>
        <v>0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</row>
    <row r="4" spans="1:28" x14ac:dyDescent="0.25">
      <c r="A4" s="8" t="s">
        <v>96</v>
      </c>
      <c r="B4" s="8" t="s">
        <v>26</v>
      </c>
      <c r="C4" s="2">
        <f>+Tabla5[[#This Row],[FECHA]]</f>
        <v>44929</v>
      </c>
      <c r="D4" s="29">
        <v>0.67361111111111116</v>
      </c>
      <c r="E4" s="29">
        <v>0.68541666666666667</v>
      </c>
      <c r="F4" s="29">
        <v>0.71458333333333324</v>
      </c>
      <c r="G4" s="29">
        <v>0.93402777777777779</v>
      </c>
      <c r="H4" s="29">
        <v>0.9375</v>
      </c>
      <c r="I4" s="29">
        <v>0.96180555555555547</v>
      </c>
      <c r="J4" s="27">
        <v>0.99305555555555547</v>
      </c>
      <c r="K4" s="37"/>
      <c r="M4" s="3"/>
      <c r="N4" s="3" t="s">
        <v>16</v>
      </c>
      <c r="O4" s="2">
        <f>Tabla51334[[#This Row],[FECHA]]</f>
        <v>44929</v>
      </c>
      <c r="P4" s="1">
        <f>D4</f>
        <v>0.67361111111111116</v>
      </c>
      <c r="Q4" s="1">
        <f t="shared" ref="Q4:S7" si="0">E4-D4</f>
        <v>1.1805555555555514E-2</v>
      </c>
      <c r="R4" s="1">
        <f t="shared" si="0"/>
        <v>2.9166666666666563E-2</v>
      </c>
      <c r="S4" s="1">
        <f t="shared" si="0"/>
        <v>0.21944444444444455</v>
      </c>
      <c r="T4" s="1">
        <f>+Tabla51334[[#This Row],[ALMUERZO]]-Tabla51334[[#This Row],[TERMINO ACT. AM]]</f>
        <v>3.4722222222222099E-3</v>
      </c>
      <c r="U4" s="1">
        <f>+Tabla51334[[#This Row],[INICIO ACTIVIDADES PM]]-Tabla51334[[#This Row],[ALMUERZO]]</f>
        <v>2.4305555555555469E-2</v>
      </c>
      <c r="V4" s="1">
        <f>+Tabla51334[[#This Row],[TERMINO ACTIVIDADES PM]]-Tabla51334[[#This Row],[INICIO ACTIVIDADES PM]]</f>
        <v>3.125E-2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</row>
    <row r="5" spans="1:28" x14ac:dyDescent="0.25">
      <c r="A5" s="8" t="s">
        <v>96</v>
      </c>
      <c r="B5" s="8" t="s">
        <v>27</v>
      </c>
      <c r="C5" s="2">
        <f>+Tabla5[[#This Row],[FECHA]]</f>
        <v>44930</v>
      </c>
      <c r="D5" s="29">
        <v>0.67361111111111116</v>
      </c>
      <c r="E5" s="29">
        <v>0.68611111111111101</v>
      </c>
      <c r="F5" s="29">
        <v>0.72222222222222221</v>
      </c>
      <c r="G5" s="29">
        <v>0.93263888888888891</v>
      </c>
      <c r="H5" s="29">
        <v>0.9375</v>
      </c>
      <c r="I5" s="29">
        <v>0.96180555555555547</v>
      </c>
      <c r="J5" s="27">
        <v>0.99305555555555547</v>
      </c>
      <c r="K5" s="37"/>
      <c r="M5" s="3"/>
      <c r="N5" s="3" t="s">
        <v>16</v>
      </c>
      <c r="O5" s="2">
        <f>Tabla51334[[#This Row],[FECHA]]</f>
        <v>44930</v>
      </c>
      <c r="P5" s="1">
        <f>D5</f>
        <v>0.67361111111111116</v>
      </c>
      <c r="Q5" s="1">
        <f t="shared" si="0"/>
        <v>1.2499999999999845E-2</v>
      </c>
      <c r="R5" s="1">
        <f t="shared" si="0"/>
        <v>3.6111111111111205E-2</v>
      </c>
      <c r="S5" s="1">
        <f t="shared" si="0"/>
        <v>0.2104166666666667</v>
      </c>
      <c r="T5" s="1">
        <f>+Tabla51334[[#This Row],[ALMUERZO]]-Tabla51334[[#This Row],[TERMINO ACT. AM]]</f>
        <v>4.8611111111110938E-3</v>
      </c>
      <c r="U5" s="1">
        <f>+Tabla51334[[#This Row],[INICIO ACTIVIDADES PM]]-Tabla51334[[#This Row],[ALMUERZO]]</f>
        <v>2.4305555555555469E-2</v>
      </c>
      <c r="V5" s="1">
        <f>+Tabla51334[[#This Row],[TERMINO ACTIVIDADES PM]]-Tabla51334[[#This Row],[INICIO ACTIVIDADES PM]]</f>
        <v>3.125E-2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</row>
    <row r="6" spans="1:28" x14ac:dyDescent="0.25">
      <c r="A6" s="8" t="s">
        <v>96</v>
      </c>
      <c r="B6" s="8" t="s">
        <v>28</v>
      </c>
      <c r="C6" s="2">
        <f>+Tabla5[[#This Row],[FECHA]]</f>
        <v>44931</v>
      </c>
      <c r="D6" s="29">
        <v>0.67361111111111116</v>
      </c>
      <c r="E6" s="29">
        <v>0.68472222222222223</v>
      </c>
      <c r="F6" s="29">
        <v>0.71388888888888891</v>
      </c>
      <c r="G6" s="29">
        <v>0.93958333333333333</v>
      </c>
      <c r="H6" s="29">
        <v>0.94930555555555562</v>
      </c>
      <c r="I6" s="29">
        <v>0.97916666666666663</v>
      </c>
      <c r="J6" s="27">
        <v>0.99305555555555547</v>
      </c>
      <c r="K6" s="37"/>
      <c r="M6" s="3"/>
      <c r="N6" s="3" t="s">
        <v>17</v>
      </c>
      <c r="O6" s="2">
        <f>Tabla51334[[#This Row],[FECHA]]</f>
        <v>44931</v>
      </c>
      <c r="P6" s="1">
        <f>D6</f>
        <v>0.67361111111111116</v>
      </c>
      <c r="Q6" s="1">
        <f t="shared" si="0"/>
        <v>1.1111111111111072E-2</v>
      </c>
      <c r="R6" s="1">
        <f t="shared" si="0"/>
        <v>2.9166666666666674E-2</v>
      </c>
      <c r="S6" s="1">
        <f t="shared" si="0"/>
        <v>0.22569444444444442</v>
      </c>
      <c r="T6" s="1">
        <f>+Tabla51334[[#This Row],[ALMUERZO]]-Tabla51334[[#This Row],[TERMINO ACT. AM]]</f>
        <v>9.7222222222222987E-3</v>
      </c>
      <c r="U6" s="1">
        <f>+Tabla51334[[#This Row],[INICIO ACTIVIDADES PM]]-Tabla51334[[#This Row],[ALMUERZO]]</f>
        <v>2.9861111111111005E-2</v>
      </c>
      <c r="V6" s="1">
        <f>+Tabla51334[[#This Row],[TERMINO ACTIVIDADES PM]]-Tabla51334[[#This Row],[INICIO ACTIVIDADES PM]]</f>
        <v>1.388888888888884E-2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</row>
    <row r="7" spans="1:28" x14ac:dyDescent="0.25">
      <c r="A7" s="8" t="s">
        <v>96</v>
      </c>
      <c r="B7" s="8" t="s">
        <v>38</v>
      </c>
      <c r="C7" s="2">
        <f>+Tabla5[[#This Row],[FECHA]]</f>
        <v>44932</v>
      </c>
      <c r="D7" s="29">
        <v>0.67361111111111116</v>
      </c>
      <c r="E7" s="29">
        <v>0.68611111111111101</v>
      </c>
      <c r="F7" s="29">
        <v>0.71875</v>
      </c>
      <c r="G7" s="27">
        <v>0.93402777777777779</v>
      </c>
      <c r="H7" s="29">
        <v>0.94791666666666663</v>
      </c>
      <c r="I7" s="29">
        <v>0.96875</v>
      </c>
      <c r="J7" s="27">
        <v>0.99305555555555547</v>
      </c>
      <c r="K7" s="37"/>
      <c r="M7" s="3"/>
      <c r="N7" s="3" t="s">
        <v>18</v>
      </c>
      <c r="O7" s="2">
        <f>Tabla51334[[#This Row],[FECHA]]</f>
        <v>44932</v>
      </c>
      <c r="P7" s="1">
        <f>D7</f>
        <v>0.67361111111111116</v>
      </c>
      <c r="Q7" s="1">
        <f t="shared" si="0"/>
        <v>1.2499999999999845E-2</v>
      </c>
      <c r="R7" s="1">
        <f t="shared" si="0"/>
        <v>3.2638888888888995E-2</v>
      </c>
      <c r="S7" s="1">
        <f t="shared" si="0"/>
        <v>0.21527777777777779</v>
      </c>
      <c r="T7" s="1">
        <f>+Tabla51334[[#This Row],[ALMUERZO]]-Tabla51334[[#This Row],[TERMINO ACT. AM]]</f>
        <v>1.388888888888884E-2</v>
      </c>
      <c r="U7" s="1">
        <f>+Tabla51334[[#This Row],[INICIO ACTIVIDADES PM]]-Tabla51334[[#This Row],[ALMUERZO]]</f>
        <v>2.083333333333337E-2</v>
      </c>
      <c r="V7" s="1">
        <f>+Tabla51334[[#This Row],[TERMINO ACTIVIDADES PM]]-Tabla51334[[#This Row],[INICIO ACTIVIDADES PM]]</f>
        <v>2.4305555555555469E-2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</row>
    <row r="8" spans="1:28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T8" s="1"/>
      <c r="W8" s="1"/>
      <c r="X8" s="1"/>
      <c r="Y8" s="1"/>
      <c r="Z8" s="1"/>
      <c r="AA8" s="1"/>
      <c r="AB8" s="1"/>
    </row>
    <row r="9" spans="1:28" x14ac:dyDescent="0.25">
      <c r="A9" s="8"/>
      <c r="B9" s="8"/>
      <c r="C9" s="8"/>
      <c r="D9" s="29"/>
      <c r="E9" s="29"/>
      <c r="F9" s="29"/>
      <c r="G9" s="27"/>
      <c r="H9" s="27"/>
      <c r="I9" s="27"/>
      <c r="J9" s="27"/>
      <c r="K9" s="30"/>
      <c r="M9" s="3">
        <f>Tabla51334[[#This Row],[Columna1]]</f>
        <v>0</v>
      </c>
      <c r="N9" s="3"/>
      <c r="O9" s="2"/>
      <c r="T9" s="1"/>
      <c r="W9" s="1"/>
      <c r="X9" s="1"/>
      <c r="Y9" s="1"/>
      <c r="Z9" s="1"/>
      <c r="AA9" s="1"/>
      <c r="AB9" s="1"/>
    </row>
    <row r="10" spans="1:28" x14ac:dyDescent="0.25">
      <c r="A10" s="32"/>
      <c r="B10" s="32"/>
      <c r="C10" s="32"/>
      <c r="D10" s="29"/>
      <c r="E10" s="29"/>
      <c r="F10" s="29"/>
      <c r="G10" s="27"/>
      <c r="H10" s="27"/>
      <c r="I10" s="27"/>
      <c r="J10" s="27"/>
      <c r="K10" s="30"/>
      <c r="M10" s="3"/>
      <c r="N10" s="3"/>
      <c r="O10" s="2"/>
      <c r="T10" s="1"/>
      <c r="W10" s="1"/>
      <c r="X10" s="1"/>
      <c r="Y10" s="1"/>
      <c r="Z10" s="1"/>
      <c r="AA10" s="1"/>
      <c r="AB10" s="1"/>
    </row>
    <row r="11" spans="1:28" x14ac:dyDescent="0.25">
      <c r="A11" s="32"/>
      <c r="B11" s="32"/>
      <c r="C11" s="32"/>
      <c r="D11" s="29"/>
      <c r="E11" s="29"/>
      <c r="F11" s="29"/>
      <c r="G11" s="27"/>
      <c r="H11" s="29"/>
      <c r="I11" s="27"/>
      <c r="J11" s="27"/>
      <c r="K11" s="30"/>
      <c r="M11" s="3"/>
      <c r="N11" s="3"/>
      <c r="O11" s="2"/>
      <c r="T11" s="1"/>
      <c r="W11" s="1"/>
      <c r="X11" s="1"/>
      <c r="Y11" s="1"/>
      <c r="Z11" s="1"/>
      <c r="AA11" s="1"/>
      <c r="AB11" s="1"/>
    </row>
    <row r="12" spans="1:28" x14ac:dyDescent="0.25">
      <c r="A12" s="8"/>
      <c r="B12" s="8"/>
      <c r="C12" s="8"/>
      <c r="D12" s="29"/>
      <c r="E12" s="29"/>
      <c r="F12" s="29"/>
      <c r="G12" s="27"/>
      <c r="H12" s="27"/>
      <c r="I12" s="27"/>
      <c r="J12" s="27"/>
      <c r="K12" s="30"/>
      <c r="M12" s="3"/>
      <c r="N12" s="3"/>
      <c r="O12" s="2"/>
      <c r="T12" s="1"/>
      <c r="W12" s="1"/>
      <c r="X12" s="1"/>
      <c r="Y12" s="1"/>
      <c r="Z12" s="1"/>
      <c r="AA12" s="1"/>
      <c r="AB12" s="1"/>
    </row>
    <row r="13" spans="1:28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T13" s="1"/>
      <c r="W13" s="1"/>
      <c r="X13" s="1"/>
      <c r="Y13" s="1"/>
      <c r="Z13" s="1"/>
      <c r="AA13" s="1"/>
      <c r="AB13" s="1"/>
    </row>
    <row r="14" spans="1:28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W14" s="1"/>
      <c r="X14" s="1"/>
      <c r="Y14" s="1"/>
      <c r="Z14" s="1"/>
      <c r="AA14" s="1"/>
      <c r="AB14" s="1"/>
    </row>
    <row r="15" spans="1:28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79</v>
      </c>
      <c r="H15" s="20"/>
      <c r="I15" s="17"/>
      <c r="J15" s="17"/>
      <c r="K15" s="27"/>
      <c r="T15" s="1"/>
    </row>
    <row r="16" spans="1:28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0.25069444444444455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0.2416666666666667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0.23958333333333326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0.23958333333333326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0.24288194444444444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0.97152777777777777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62" t="s">
        <v>105</v>
      </c>
      <c r="I27" s="163" t="s">
        <v>104</v>
      </c>
      <c r="T27" s="1"/>
    </row>
    <row r="28" spans="1:20" ht="15.6" customHeight="1" x14ac:dyDescent="0.25">
      <c r="H28" s="162"/>
      <c r="I28" s="164"/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G8" sqref="G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4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</row>
    <row r="3" spans="1:24" x14ac:dyDescent="0.25">
      <c r="A3" s="8" t="s">
        <v>89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Tabla536[[#This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+Tabla536[[#This Row],[ALMUERZO]]-Tabla536[[#This Row],[TERMINO ACT. AM]]</f>
        <v>0</v>
      </c>
      <c r="U3" s="1">
        <f>+Tabla536[[#This Row],[INICIO ACTIVIDADES PM]]-Tabla536[[#This Row],[ALMUERZO]]</f>
        <v>0</v>
      </c>
      <c r="V3" s="1">
        <f>+Tabla536[[#This Row],[TERMINO ACTIVIDADES PM]]-Tabla536[[#This Row],[INICIO ACTIVIDADES PM]]</f>
        <v>0</v>
      </c>
      <c r="W3" s="1">
        <f>+$D$1</f>
        <v>0.33333333333333331</v>
      </c>
      <c r="X3" s="1">
        <f>+$E$1</f>
        <v>0.35416666666666669</v>
      </c>
    </row>
    <row r="4" spans="1:24" x14ac:dyDescent="0.25">
      <c r="A4" s="8" t="s">
        <v>89</v>
      </c>
      <c r="B4" s="8" t="s">
        <v>26</v>
      </c>
      <c r="C4" s="2">
        <f>+Tabla5[[#This Row],[FECHA]]</f>
        <v>44929</v>
      </c>
      <c r="D4" s="29">
        <v>0.34027777777777773</v>
      </c>
      <c r="E4" s="29">
        <v>0.37152777777777773</v>
      </c>
      <c r="F4" s="29">
        <v>0.3833333333333333</v>
      </c>
      <c r="G4" s="29">
        <v>0.61458333333333337</v>
      </c>
      <c r="H4" s="29">
        <v>0.62152777777777779</v>
      </c>
      <c r="I4" s="29">
        <v>0.64583333333333337</v>
      </c>
      <c r="J4" s="27">
        <v>0.65972222222222221</v>
      </c>
      <c r="K4" s="37"/>
      <c r="M4" s="3"/>
      <c r="N4" s="3" t="s">
        <v>16</v>
      </c>
      <c r="O4" s="2">
        <f>Tabla536[[#This Row],[FECHA]]</f>
        <v>44929</v>
      </c>
      <c r="P4" s="1">
        <f>D4</f>
        <v>0.34027777777777773</v>
      </c>
      <c r="Q4" s="1">
        <f t="shared" ref="Q4:S7" si="0">E4-D4</f>
        <v>3.125E-2</v>
      </c>
      <c r="R4" s="1">
        <f t="shared" si="0"/>
        <v>1.1805555555555569E-2</v>
      </c>
      <c r="S4" s="1">
        <f t="shared" si="0"/>
        <v>0.23125000000000007</v>
      </c>
      <c r="T4" s="1">
        <f>+Tabla536[[#This Row],[ALMUERZO]]-Tabla536[[#This Row],[TERMINO ACT. AM]]</f>
        <v>6.9444444444444198E-3</v>
      </c>
      <c r="U4" s="1">
        <f>+Tabla536[[#This Row],[INICIO ACTIVIDADES PM]]-Tabla536[[#This Row],[ALMUERZO]]</f>
        <v>2.430555555555558E-2</v>
      </c>
      <c r="V4" s="1">
        <f>+Tabla536[[#This Row],[TERMINO ACTIVIDADES PM]]-Tabla536[[#This Row],[INICIO ACTIVIDADES PM]]</f>
        <v>1.388888888888884E-2</v>
      </c>
      <c r="W4" s="1">
        <f t="shared" ref="W4:W7" si="1">+$D$1</f>
        <v>0.33333333333333331</v>
      </c>
      <c r="X4" s="1">
        <f t="shared" ref="X4:X7" si="2">+$E$1</f>
        <v>0.35416666666666669</v>
      </c>
    </row>
    <row r="5" spans="1:24" x14ac:dyDescent="0.25">
      <c r="A5" s="8" t="s">
        <v>89</v>
      </c>
      <c r="B5" s="8" t="s">
        <v>27</v>
      </c>
      <c r="C5" s="2">
        <f>+Tabla5[[#This Row],[FECHA]]</f>
        <v>44930</v>
      </c>
      <c r="D5" s="29">
        <v>0.34375</v>
      </c>
      <c r="E5" s="29">
        <v>0.37152777777777773</v>
      </c>
      <c r="F5" s="29">
        <v>0.38055555555555554</v>
      </c>
      <c r="G5" s="29">
        <v>0.6118055555555556</v>
      </c>
      <c r="H5" s="29">
        <v>0.61805555555555558</v>
      </c>
      <c r="I5" s="29">
        <v>0.64236111111111105</v>
      </c>
      <c r="J5" s="27">
        <v>0.65972222222222221</v>
      </c>
      <c r="K5" s="37"/>
      <c r="M5" s="3"/>
      <c r="N5" s="3" t="s">
        <v>16</v>
      </c>
      <c r="O5" s="2">
        <f>Tabla536[[#This Row],[FECHA]]</f>
        <v>44930</v>
      </c>
      <c r="P5" s="1">
        <f>D5</f>
        <v>0.34375</v>
      </c>
      <c r="Q5" s="1">
        <f t="shared" si="0"/>
        <v>2.7777777777777735E-2</v>
      </c>
      <c r="R5" s="1">
        <f t="shared" si="0"/>
        <v>9.0277777777778012E-3</v>
      </c>
      <c r="S5" s="1">
        <f t="shared" si="0"/>
        <v>0.23125000000000007</v>
      </c>
      <c r="T5" s="1">
        <f>+Tabla536[[#This Row],[ALMUERZO]]-Tabla536[[#This Row],[TERMINO ACT. AM]]</f>
        <v>6.2499999999999778E-3</v>
      </c>
      <c r="U5" s="1">
        <f>+Tabla536[[#This Row],[INICIO ACTIVIDADES PM]]-Tabla536[[#This Row],[ALMUERZO]]</f>
        <v>2.4305555555555469E-2</v>
      </c>
      <c r="V5" s="1">
        <f>+Tabla536[[#This Row],[TERMINO ACTIVIDADES PM]]-Tabla536[[#This Row],[INICIO ACTIVIDADES PM]]</f>
        <v>1.736111111111116E-2</v>
      </c>
      <c r="W5" s="1">
        <f t="shared" si="1"/>
        <v>0.33333333333333331</v>
      </c>
      <c r="X5" s="1">
        <f t="shared" si="2"/>
        <v>0.35416666666666669</v>
      </c>
    </row>
    <row r="6" spans="1:24" x14ac:dyDescent="0.25">
      <c r="A6" s="8" t="s">
        <v>89</v>
      </c>
      <c r="B6" s="8" t="s">
        <v>28</v>
      </c>
      <c r="C6" s="2">
        <f>+Tabla5[[#This Row],[FECHA]]</f>
        <v>44931</v>
      </c>
      <c r="D6" s="29">
        <v>0.34027777777777773</v>
      </c>
      <c r="E6" s="29">
        <v>0.36805555555555558</v>
      </c>
      <c r="F6" s="29">
        <v>0.38541666666666669</v>
      </c>
      <c r="G6" s="29">
        <v>0.60763888888888895</v>
      </c>
      <c r="H6" s="29">
        <v>0.61805555555555558</v>
      </c>
      <c r="I6" s="29">
        <v>0.64236111111111105</v>
      </c>
      <c r="J6" s="27">
        <v>0.65972222222222221</v>
      </c>
      <c r="K6" s="37"/>
      <c r="M6" s="3"/>
      <c r="N6" s="3" t="s">
        <v>17</v>
      </c>
      <c r="O6" s="2">
        <f>Tabla536[[#This Row],[FECHA]]</f>
        <v>44931</v>
      </c>
      <c r="P6" s="1">
        <f>D6</f>
        <v>0.34027777777777773</v>
      </c>
      <c r="Q6" s="1">
        <f t="shared" si="0"/>
        <v>2.7777777777777846E-2</v>
      </c>
      <c r="R6" s="1">
        <f t="shared" si="0"/>
        <v>1.7361111111111105E-2</v>
      </c>
      <c r="S6" s="1">
        <f t="shared" si="0"/>
        <v>0.22222222222222227</v>
      </c>
      <c r="T6" s="1">
        <f>+Tabla536[[#This Row],[ALMUERZO]]-Tabla536[[#This Row],[TERMINO ACT. AM]]</f>
        <v>1.041666666666663E-2</v>
      </c>
      <c r="U6" s="1">
        <f>+Tabla536[[#This Row],[INICIO ACTIVIDADES PM]]-Tabla536[[#This Row],[ALMUERZO]]</f>
        <v>2.4305555555555469E-2</v>
      </c>
      <c r="V6" s="1">
        <f>+Tabla536[[#This Row],[TERMINO ACTIVIDADES PM]]-Tabla536[[#This Row],[INICIO ACTIVIDADES PM]]</f>
        <v>1.736111111111116E-2</v>
      </c>
      <c r="W6" s="1">
        <f t="shared" si="1"/>
        <v>0.33333333333333331</v>
      </c>
      <c r="X6" s="1">
        <f t="shared" si="2"/>
        <v>0.35416666666666669</v>
      </c>
    </row>
    <row r="7" spans="1:24" x14ac:dyDescent="0.25">
      <c r="A7" s="8" t="s">
        <v>89</v>
      </c>
      <c r="B7" s="8" t="s">
        <v>38</v>
      </c>
      <c r="C7" s="2">
        <f>+Tabla5[[#This Row],[FECHA]]</f>
        <v>44932</v>
      </c>
      <c r="D7" s="29">
        <v>0.33819444444444446</v>
      </c>
      <c r="E7" s="29">
        <v>0.36805555555555558</v>
      </c>
      <c r="F7" s="29">
        <v>0.38194444444444442</v>
      </c>
      <c r="G7" s="29">
        <v>0.61111111111111105</v>
      </c>
      <c r="H7" s="29">
        <v>0.61805555555555558</v>
      </c>
      <c r="I7" s="29">
        <v>0.64236111111111105</v>
      </c>
      <c r="J7" s="27">
        <v>0.65972222222222221</v>
      </c>
      <c r="K7" s="37"/>
      <c r="M7" s="3"/>
      <c r="N7" s="3" t="s">
        <v>18</v>
      </c>
      <c r="O7" s="2">
        <f>Tabla536[[#This Row],[FECHA]]</f>
        <v>44932</v>
      </c>
      <c r="P7" s="1">
        <f>D7</f>
        <v>0.33819444444444446</v>
      </c>
      <c r="Q7" s="1">
        <f t="shared" si="0"/>
        <v>2.9861111111111116E-2</v>
      </c>
      <c r="R7" s="1">
        <f t="shared" si="0"/>
        <v>1.388888888888884E-2</v>
      </c>
      <c r="S7" s="1">
        <f t="shared" si="0"/>
        <v>0.22916666666666663</v>
      </c>
      <c r="T7" s="1">
        <f>+Tabla536[[#This Row],[ALMUERZO]]-Tabla536[[#This Row],[TERMINO ACT. AM]]</f>
        <v>6.9444444444445308E-3</v>
      </c>
      <c r="U7" s="1">
        <f>+Tabla536[[#This Row],[INICIO ACTIVIDADES PM]]-Tabla536[[#This Row],[ALMUERZO]]</f>
        <v>2.4305555555555469E-2</v>
      </c>
      <c r="V7" s="1">
        <f>+Tabla536[[#This Row],[TERMINO ACTIVIDADES PM]]-Tabla536[[#This Row],[INICIO ACTIVIDADES PM]]</f>
        <v>1.736111111111116E-2</v>
      </c>
      <c r="W7" s="1">
        <f t="shared" si="1"/>
        <v>0.33333333333333331</v>
      </c>
      <c r="X7" s="1">
        <f t="shared" si="2"/>
        <v>0.35416666666666669</v>
      </c>
    </row>
    <row r="8" spans="1:24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Tabla536[[#This Row],[Columna1]]</f>
        <v>0</v>
      </c>
      <c r="N9" s="3"/>
      <c r="O9" s="2"/>
      <c r="V9" s="1"/>
      <c r="W9" s="1"/>
      <c r="X9" s="1"/>
    </row>
    <row r="10" spans="1:24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V10" s="1"/>
      <c r="W10" s="1"/>
      <c r="X10" s="1"/>
    </row>
    <row r="11" spans="1:24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V11" s="1"/>
      <c r="W11" s="1"/>
      <c r="X11" s="1"/>
    </row>
    <row r="12" spans="1:24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V12" s="1"/>
      <c r="W12" s="1"/>
      <c r="X12" s="1"/>
    </row>
    <row r="13" spans="1:24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V13" s="1"/>
      <c r="W13" s="1"/>
      <c r="X13" s="1"/>
    </row>
    <row r="14" spans="1:24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1"/>
      <c r="W14" s="1"/>
      <c r="X14" s="1"/>
    </row>
    <row r="15" spans="1:24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57</v>
      </c>
      <c r="H15" s="20"/>
      <c r="I15" s="17"/>
      <c r="J15" s="17"/>
      <c r="K15" s="27"/>
    </row>
    <row r="16" spans="1:24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0.24513888888888891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0.24861111111111123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0.23958333333333343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0.24652777777777779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0.24496527777777785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17"/>
      <c r="B23" s="17"/>
      <c r="C23" s="17"/>
      <c r="D23" s="17"/>
      <c r="E23" s="17"/>
      <c r="F23" s="23" t="s">
        <v>41</v>
      </c>
      <c r="G23" s="36">
        <f>G21/G22</f>
        <v>0.9798611111111114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62" t="s">
        <v>105</v>
      </c>
      <c r="I28" s="163" t="s">
        <v>103</v>
      </c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4"/>
      <c r="T30" s="1"/>
    </row>
    <row r="31" spans="1:20" ht="15.6" customHeight="1" x14ac:dyDescent="0.25">
      <c r="H31" s="162"/>
      <c r="I31" s="165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G7" sqref="G7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97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Tabla537[[#This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+Tabla537[[#This Row],[ALMUERZO]]-Tabla537[[#This Row],[TERMINO ACT. AM]]</f>
        <v>0</v>
      </c>
      <c r="U3" s="1">
        <f>+Tabla537[[#This Row],[INICIO ACTIVIDADES PM]]-Tabla537[[#This Row],[ALMUERZO]]</f>
        <v>0</v>
      </c>
      <c r="V3" s="1">
        <f>+Tabla537[[#This Row],[TERMINO ACTIVIDADES PM]]-Tabla537[[#This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97</v>
      </c>
      <c r="B4" s="8" t="s">
        <v>26</v>
      </c>
      <c r="C4" s="2">
        <f>+Tabla5[[#This Row],[FECHA]]</f>
        <v>44929</v>
      </c>
      <c r="D4" s="29">
        <v>0.67361111111111116</v>
      </c>
      <c r="E4" s="29">
        <v>0.6875</v>
      </c>
      <c r="F4" s="29">
        <v>0.71527777777777779</v>
      </c>
      <c r="G4" s="29">
        <v>0.95138888888888884</v>
      </c>
      <c r="H4" s="29">
        <v>0.95833333333333337</v>
      </c>
      <c r="I4" s="29">
        <v>0.97916666666666663</v>
      </c>
      <c r="J4" s="27">
        <v>0.99305555555555547</v>
      </c>
      <c r="K4" s="37"/>
      <c r="M4" s="3"/>
      <c r="N4" s="3" t="s">
        <v>16</v>
      </c>
      <c r="O4" s="2">
        <f>Tabla537[[#This Row],[FECHA]]</f>
        <v>44929</v>
      </c>
      <c r="P4" s="1">
        <f>D4</f>
        <v>0.67361111111111116</v>
      </c>
      <c r="Q4" s="1">
        <f t="shared" ref="Q4:S7" si="0">E4-D4</f>
        <v>1.388888888888884E-2</v>
      </c>
      <c r="R4" s="1">
        <f t="shared" si="0"/>
        <v>2.777777777777779E-2</v>
      </c>
      <c r="S4" s="1">
        <f t="shared" si="0"/>
        <v>0.23611111111111105</v>
      </c>
      <c r="T4" s="1">
        <f>+Tabla537[[#This Row],[ALMUERZO]]-Tabla537[[#This Row],[TERMINO ACT. AM]]</f>
        <v>6.9444444444445308E-3</v>
      </c>
      <c r="U4" s="1">
        <f>+Tabla537[[#This Row],[INICIO ACTIVIDADES PM]]-Tabla537[[#This Row],[ALMUERZO]]</f>
        <v>2.0833333333333259E-2</v>
      </c>
      <c r="V4" s="1">
        <f>+Tabla537[[#This Row],[TERMINO ACTIVIDADES PM]]-Tabla537[[#This Row],[INICIO ACTIVIDADES PM]]</f>
        <v>1.388888888888884E-2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97</v>
      </c>
      <c r="B5" s="8" t="s">
        <v>27</v>
      </c>
      <c r="C5" s="2">
        <f>+Tabla5[[#This Row],[FECHA]]</f>
        <v>44930</v>
      </c>
      <c r="D5" s="29">
        <v>0.67361111111111116</v>
      </c>
      <c r="E5" s="29">
        <v>0.68402777777777779</v>
      </c>
      <c r="F5" s="29">
        <v>0.71527777777777779</v>
      </c>
      <c r="G5" s="29">
        <v>0.95486111111111116</v>
      </c>
      <c r="H5" s="29">
        <v>0.96180555555555547</v>
      </c>
      <c r="I5" s="29">
        <v>0.98263888888888884</v>
      </c>
      <c r="J5" s="27">
        <v>0.99305555555555547</v>
      </c>
      <c r="K5" s="37"/>
      <c r="M5" s="3"/>
      <c r="N5" s="3" t="s">
        <v>16</v>
      </c>
      <c r="O5" s="2">
        <f>Tabla537[[#This Row],[FECHA]]</f>
        <v>44930</v>
      </c>
      <c r="P5" s="1">
        <f>D5</f>
        <v>0.67361111111111116</v>
      </c>
      <c r="Q5" s="1">
        <f t="shared" si="0"/>
        <v>1.041666666666663E-2</v>
      </c>
      <c r="R5" s="1">
        <f t="shared" si="0"/>
        <v>3.125E-2</v>
      </c>
      <c r="S5" s="1">
        <f t="shared" si="0"/>
        <v>0.23958333333333337</v>
      </c>
      <c r="T5" s="1">
        <f>+Tabla537[[#This Row],[ALMUERZO]]-Tabla537[[#This Row],[TERMINO ACT. AM]]</f>
        <v>6.9444444444443088E-3</v>
      </c>
      <c r="U5" s="1">
        <f>+Tabla537[[#This Row],[INICIO ACTIVIDADES PM]]-Tabla537[[#This Row],[ALMUERZO]]</f>
        <v>2.083333333333337E-2</v>
      </c>
      <c r="V5" s="1">
        <f>+Tabla537[[#This Row],[TERMINO ACTIVIDADES PM]]-Tabla537[[#This Row],[INICIO ACTIVIDADES PM]]</f>
        <v>1.041666666666663E-2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97</v>
      </c>
      <c r="B6" s="8" t="s">
        <v>28</v>
      </c>
      <c r="C6" s="2">
        <f>+Tabla5[[#This Row],[FECHA]]</f>
        <v>44931</v>
      </c>
      <c r="D6" s="29">
        <v>0.67361111111111116</v>
      </c>
      <c r="E6" s="29">
        <v>0.68055555555555547</v>
      </c>
      <c r="F6" s="29">
        <v>0.71875</v>
      </c>
      <c r="G6" s="29">
        <v>0.94513888888888886</v>
      </c>
      <c r="H6" s="29">
        <v>0.95138888888888884</v>
      </c>
      <c r="I6" s="29">
        <v>0.97916666666666663</v>
      </c>
      <c r="J6" s="27">
        <v>0.99305555555555547</v>
      </c>
      <c r="K6" s="37"/>
      <c r="M6" s="3"/>
      <c r="N6" s="3" t="s">
        <v>17</v>
      </c>
      <c r="O6" s="2">
        <f>Tabla537[[#This Row],[FECHA]]</f>
        <v>44931</v>
      </c>
      <c r="P6" s="1">
        <f>D6</f>
        <v>0.67361111111111116</v>
      </c>
      <c r="Q6" s="1">
        <f t="shared" si="0"/>
        <v>6.9444444444443088E-3</v>
      </c>
      <c r="R6" s="1">
        <f t="shared" si="0"/>
        <v>3.8194444444444531E-2</v>
      </c>
      <c r="S6" s="1">
        <f t="shared" si="0"/>
        <v>0.22638888888888886</v>
      </c>
      <c r="T6" s="1">
        <f>+Tabla537[[#This Row],[ALMUERZO]]-Tabla537[[#This Row],[TERMINO ACT. AM]]</f>
        <v>6.2499999999999778E-3</v>
      </c>
      <c r="U6" s="1">
        <f>+Tabla537[[#This Row],[INICIO ACTIVIDADES PM]]-Tabla537[[#This Row],[ALMUERZO]]</f>
        <v>2.777777777777779E-2</v>
      </c>
      <c r="V6" s="1">
        <f>+Tabla537[[#This Row],[TERMINO ACTIVIDADES PM]]-Tabla537[[#This Row],[INICIO ACTIVIDADES PM]]</f>
        <v>1.388888888888884E-2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97</v>
      </c>
      <c r="B7" s="8" t="s">
        <v>38</v>
      </c>
      <c r="C7" s="2">
        <f>+Tabla5[[#This Row],[FECHA]]</f>
        <v>44932</v>
      </c>
      <c r="D7" s="29">
        <v>0.67361111111111116</v>
      </c>
      <c r="E7" s="29">
        <v>0.69791666666666663</v>
      </c>
      <c r="F7" s="29">
        <v>0.71875</v>
      </c>
      <c r="G7" s="29">
        <v>0.92013888888888884</v>
      </c>
      <c r="H7" s="29">
        <v>0.92361111111111116</v>
      </c>
      <c r="I7" s="29">
        <v>0.94791666666666663</v>
      </c>
      <c r="J7" s="27">
        <v>0.99305555555555547</v>
      </c>
      <c r="K7" s="37"/>
      <c r="M7" s="3"/>
      <c r="N7" s="3" t="s">
        <v>18</v>
      </c>
      <c r="O7" s="2">
        <f>Tabla537[[#This Row],[FECHA]]</f>
        <v>44932</v>
      </c>
      <c r="P7" s="1">
        <f>D7</f>
        <v>0.67361111111111116</v>
      </c>
      <c r="Q7" s="1">
        <f t="shared" si="0"/>
        <v>2.4305555555555469E-2</v>
      </c>
      <c r="R7" s="1">
        <f t="shared" si="0"/>
        <v>2.083333333333337E-2</v>
      </c>
      <c r="S7" s="1">
        <f t="shared" si="0"/>
        <v>0.20138888888888884</v>
      </c>
      <c r="T7" s="1">
        <f>+Tabla537[[#This Row],[ALMUERZO]]-Tabla537[[#This Row],[TERMINO ACT. AM]]</f>
        <v>3.4722222222223209E-3</v>
      </c>
      <c r="U7" s="1">
        <f>+Tabla537[[#This Row],[INICIO ACTIVIDADES PM]]-Tabla537[[#This Row],[ALMUERZO]]</f>
        <v>2.4305555555555469E-2</v>
      </c>
      <c r="V7" s="1">
        <f>+Tabla537[[#This Row],[TERMINO ACTIVIDADES PM]]-Tabla537[[#This Row],[INICIO ACTIVIDADES PM]]</f>
        <v>4.513888888888884E-2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8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Tabla537[[#This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102</v>
      </c>
      <c r="G15" s="20" t="s">
        <v>80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0.24999999999999989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0.2402777777777777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0.24652777777777768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0.24670138888888882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0.98680555555555527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62" t="s">
        <v>105</v>
      </c>
      <c r="I28" s="163" t="s">
        <v>104</v>
      </c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4"/>
      <c r="T30" s="1"/>
    </row>
    <row r="31" spans="1:20" ht="15.6" customHeight="1" x14ac:dyDescent="0.25">
      <c r="H31" s="162"/>
      <c r="I31" s="165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20:20" x14ac:dyDescent="0.25">
      <c r="T65" s="1"/>
    </row>
    <row r="66" spans="20:20" x14ac:dyDescent="0.25">
      <c r="T66" s="1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7" sqref="F7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98</v>
      </c>
      <c r="B3" s="8" t="s">
        <v>37</v>
      </c>
      <c r="C3" s="2">
        <f>+Tabla5[[#This Row],[FECHA]]</f>
        <v>44928</v>
      </c>
      <c r="D3" s="29">
        <v>0.33333333333333331</v>
      </c>
      <c r="E3" s="29">
        <v>0.34375</v>
      </c>
      <c r="F3" s="29">
        <v>0.3576388888888889</v>
      </c>
      <c r="G3" s="29">
        <v>0.53472222222222221</v>
      </c>
      <c r="H3" s="29">
        <v>0.54166666666666663</v>
      </c>
      <c r="I3" s="29">
        <v>0.56597222222222221</v>
      </c>
      <c r="J3" s="27">
        <v>0.83333333333333337</v>
      </c>
      <c r="K3" s="37" t="s">
        <v>93</v>
      </c>
      <c r="L3" s="38"/>
      <c r="M3" s="38"/>
      <c r="N3" s="39" t="s">
        <v>15</v>
      </c>
      <c r="O3" s="2">
        <f>Tabla538[[#This Row],[FECHA]]</f>
        <v>44928</v>
      </c>
      <c r="P3" s="1">
        <f>D3</f>
        <v>0.33333333333333331</v>
      </c>
      <c r="Q3" s="1">
        <f>E3-D3</f>
        <v>1.0416666666666685E-2</v>
      </c>
      <c r="R3" s="1">
        <f>F3-E3</f>
        <v>1.3888888888888895E-2</v>
      </c>
      <c r="S3" s="1">
        <f>G3-F3</f>
        <v>0.17708333333333331</v>
      </c>
      <c r="T3" s="1">
        <f>+Tabla538[[#This Row],[ALMUERZO]]-Tabla538[[#This Row],[TERMINO ACT. AM]]</f>
        <v>6.9444444444444198E-3</v>
      </c>
      <c r="U3" s="1">
        <f>+Tabla538[[#This Row],[INICIO ACTIVIDADES PM]]-Tabla538[[#This Row],[ALMUERZO]]</f>
        <v>2.430555555555558E-2</v>
      </c>
      <c r="V3" s="1">
        <f>+Tabla538[[#This Row],[TERMINO ACTIVIDADES PM]]-Tabla538[[#This Row],[INICIO ACTIVIDADES PM]]</f>
        <v>0.26736111111111116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98</v>
      </c>
      <c r="B4" s="8" t="s">
        <v>26</v>
      </c>
      <c r="C4" s="2">
        <f>+Tabla5[[#This Row],[FECHA]]</f>
        <v>44929</v>
      </c>
      <c r="D4" s="29">
        <v>0.33333333333333331</v>
      </c>
      <c r="E4" s="29">
        <v>0.34375</v>
      </c>
      <c r="F4" s="29">
        <v>0.35416666666666669</v>
      </c>
      <c r="G4" s="29">
        <v>0.53472222222222221</v>
      </c>
      <c r="H4" s="29">
        <v>0.54513888888888895</v>
      </c>
      <c r="I4" s="29">
        <v>0.57291666666666663</v>
      </c>
      <c r="J4" s="27">
        <v>0.83333333333333337</v>
      </c>
      <c r="K4" s="37" t="s">
        <v>93</v>
      </c>
      <c r="M4" s="3"/>
      <c r="N4" s="3" t="s">
        <v>16</v>
      </c>
      <c r="O4" s="2">
        <f>Tabla538[[#This Row],[FECHA]]</f>
        <v>44929</v>
      </c>
      <c r="P4" s="1">
        <f>D4</f>
        <v>0.33333333333333331</v>
      </c>
      <c r="Q4" s="1">
        <f t="shared" ref="Q4:S7" si="0">E4-D4</f>
        <v>1.0416666666666685E-2</v>
      </c>
      <c r="R4" s="1">
        <f t="shared" si="0"/>
        <v>1.0416666666666685E-2</v>
      </c>
      <c r="S4" s="1">
        <f t="shared" si="0"/>
        <v>0.18055555555555552</v>
      </c>
      <c r="T4" s="1">
        <f>+Tabla538[[#This Row],[ALMUERZO]]-Tabla538[[#This Row],[TERMINO ACT. AM]]</f>
        <v>1.0416666666666741E-2</v>
      </c>
      <c r="U4" s="1">
        <f>+Tabla538[[#This Row],[INICIO ACTIVIDADES PM]]-Tabla538[[#This Row],[ALMUERZO]]</f>
        <v>2.7777777777777679E-2</v>
      </c>
      <c r="V4" s="1">
        <f>+Tabla538[[#This Row],[TERMINO ACTIVIDADES PM]]-Tabla538[[#This Row],[INICIO ACTIVIDADES PM]]</f>
        <v>0.26041666666666674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98</v>
      </c>
      <c r="B5" s="8" t="s">
        <v>27</v>
      </c>
      <c r="C5" s="2">
        <f>+Tabla5[[#This Row],[FECHA]]</f>
        <v>44930</v>
      </c>
      <c r="D5" s="29">
        <v>0.33333333333333331</v>
      </c>
      <c r="E5" s="29">
        <v>0.34375</v>
      </c>
      <c r="F5" s="29">
        <v>0.35416666666666669</v>
      </c>
      <c r="G5" s="29">
        <v>0.55208333333333337</v>
      </c>
      <c r="H5" s="29">
        <v>0.55555555555555558</v>
      </c>
      <c r="I5" s="29">
        <v>0.57638888888888895</v>
      </c>
      <c r="J5" s="27">
        <v>0.83333333333333304</v>
      </c>
      <c r="K5" s="37" t="s">
        <v>93</v>
      </c>
      <c r="M5" s="3"/>
      <c r="N5" s="3" t="s">
        <v>16</v>
      </c>
      <c r="O5" s="2">
        <f>Tabla538[[#This Row],[FECHA]]</f>
        <v>44930</v>
      </c>
      <c r="P5" s="1">
        <f>D5</f>
        <v>0.33333333333333331</v>
      </c>
      <c r="Q5" s="1">
        <f t="shared" si="0"/>
        <v>1.0416666666666685E-2</v>
      </c>
      <c r="R5" s="1">
        <f t="shared" si="0"/>
        <v>1.0416666666666685E-2</v>
      </c>
      <c r="S5" s="1">
        <f t="shared" si="0"/>
        <v>0.19791666666666669</v>
      </c>
      <c r="T5" s="1">
        <f>+Tabla538[[#This Row],[ALMUERZO]]-Tabla538[[#This Row],[TERMINO ACT. AM]]</f>
        <v>3.4722222222222099E-3</v>
      </c>
      <c r="U5" s="1">
        <f>+Tabla538[[#This Row],[INICIO ACTIVIDADES PM]]-Tabla538[[#This Row],[ALMUERZO]]</f>
        <v>2.083333333333337E-2</v>
      </c>
      <c r="V5" s="1">
        <f>+Tabla538[[#This Row],[TERMINO ACTIVIDADES PM]]-Tabla538[[#This Row],[INICIO ACTIVIDADES PM]]</f>
        <v>0.25694444444444409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98</v>
      </c>
      <c r="B6" s="8" t="s">
        <v>28</v>
      </c>
      <c r="C6" s="2">
        <f>+Tabla5[[#This Row],[FECHA]]</f>
        <v>44931</v>
      </c>
      <c r="D6" s="29">
        <v>0.33680555555555558</v>
      </c>
      <c r="E6" s="29">
        <v>0.34722222222222227</v>
      </c>
      <c r="F6" s="29">
        <v>0.35555555555555557</v>
      </c>
      <c r="G6" s="29">
        <v>0.53125</v>
      </c>
      <c r="H6" s="29">
        <v>0.53819444444444442</v>
      </c>
      <c r="I6" s="29">
        <v>0.57638888888888895</v>
      </c>
      <c r="J6" s="27">
        <v>0.83333333333333304</v>
      </c>
      <c r="K6" s="37" t="s">
        <v>93</v>
      </c>
      <c r="M6" s="3"/>
      <c r="N6" s="3" t="s">
        <v>17</v>
      </c>
      <c r="O6" s="2">
        <f>Tabla538[[#This Row],[FECHA]]</f>
        <v>44931</v>
      </c>
      <c r="P6" s="1">
        <f>D6</f>
        <v>0.33680555555555558</v>
      </c>
      <c r="Q6" s="1">
        <f t="shared" si="0"/>
        <v>1.0416666666666685E-2</v>
      </c>
      <c r="R6" s="1">
        <f t="shared" si="0"/>
        <v>8.3333333333333037E-3</v>
      </c>
      <c r="S6" s="1">
        <f t="shared" si="0"/>
        <v>0.17569444444444443</v>
      </c>
      <c r="T6" s="1">
        <f>+Tabla538[[#This Row],[ALMUERZO]]-Tabla538[[#This Row],[TERMINO ACT. AM]]</f>
        <v>6.9444444444444198E-3</v>
      </c>
      <c r="U6" s="1">
        <f>+Tabla538[[#This Row],[INICIO ACTIVIDADES PM]]-Tabla538[[#This Row],[ALMUERZO]]</f>
        <v>3.8194444444444531E-2</v>
      </c>
      <c r="V6" s="1">
        <f>+Tabla538[[#This Row],[TERMINO ACTIVIDADES PM]]-Tabla538[[#This Row],[INICIO ACTIVIDADES PM]]</f>
        <v>0.25694444444444409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98</v>
      </c>
      <c r="B7" s="8" t="s">
        <v>38</v>
      </c>
      <c r="C7" s="2">
        <f>+Tabla5[[#This Row],[FECHA]]</f>
        <v>44932</v>
      </c>
      <c r="D7" s="29">
        <v>0.33333333333333331</v>
      </c>
      <c r="E7" s="29">
        <v>0.34375</v>
      </c>
      <c r="F7" s="29">
        <v>0.3576388888888889</v>
      </c>
      <c r="G7" s="29">
        <v>0.53125</v>
      </c>
      <c r="H7" s="29">
        <v>0.54166666666666663</v>
      </c>
      <c r="I7" s="29">
        <v>0.57986111111111105</v>
      </c>
      <c r="J7" s="27">
        <v>0.83333333333333304</v>
      </c>
      <c r="K7" s="37" t="s">
        <v>93</v>
      </c>
      <c r="M7" s="3"/>
      <c r="N7" s="3" t="s">
        <v>18</v>
      </c>
      <c r="O7" s="2">
        <f>Tabla538[[#This Row],[FECHA]]</f>
        <v>44932</v>
      </c>
      <c r="P7" s="1">
        <f>D7</f>
        <v>0.33333333333333331</v>
      </c>
      <c r="Q7" s="1">
        <f t="shared" si="0"/>
        <v>1.0416666666666685E-2</v>
      </c>
      <c r="R7" s="1">
        <f t="shared" si="0"/>
        <v>1.3888888888888895E-2</v>
      </c>
      <c r="S7" s="1">
        <f t="shared" si="0"/>
        <v>0.1736111111111111</v>
      </c>
      <c r="T7" s="1">
        <f>+Tabla538[[#This Row],[ALMUERZO]]-Tabla538[[#This Row],[TERMINO ACT. AM]]</f>
        <v>1.041666666666663E-2</v>
      </c>
      <c r="U7" s="1">
        <f>+Tabla538[[#This Row],[INICIO ACTIVIDADES PM]]-Tabla538[[#This Row],[ALMUERZO]]</f>
        <v>3.819444444444442E-2</v>
      </c>
      <c r="V7" s="1">
        <f>+Tabla538[[#This Row],[TERMINO ACTIVIDADES PM]]-Tabla538[[#This Row],[INICIO ACTIVIDADES PM]]</f>
        <v>0.25347222222222199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 t="s">
        <v>101</v>
      </c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Tabla538[[#This Row],[Columna1]]</f>
        <v>0</v>
      </c>
      <c r="N9" s="3"/>
      <c r="O9" s="2"/>
      <c r="T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T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T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7"/>
      <c r="K13" s="27"/>
      <c r="M13" s="3"/>
      <c r="N13" s="3"/>
      <c r="O13" s="2"/>
      <c r="T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81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0.44444444444444448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0.44097222222222227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0.45486111111111077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0.43263888888888852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0.42708333333333309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0.43999999999999984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0.4236111111111111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1.0386885245901636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62" t="s">
        <v>105</v>
      </c>
      <c r="I27" s="163" t="s">
        <v>103</v>
      </c>
      <c r="T27" s="1"/>
    </row>
    <row r="28" spans="1:20" ht="15.6" customHeight="1" x14ac:dyDescent="0.25">
      <c r="H28" s="162"/>
      <c r="I28" s="164"/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I6" sqref="I6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Tabla53[[#This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+Tabla53[[#This Row],[ALMUERZO]]-Tabla53[[#This Row],[TERMINO ACT. AM]]</f>
        <v>0</v>
      </c>
      <c r="U3" s="1">
        <f>+Tabla53[[#This Row],[INICIO ACTIVIDADES PM]]-Tabla53[[#This Row],[ALMUERZO]]</f>
        <v>0</v>
      </c>
      <c r="V3" s="1">
        <f>+Tabla53[[#This Row],[TERMINO ACTIVIDADES PM]]-Tabla53[[#This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44929</v>
      </c>
      <c r="D4" s="29">
        <v>0.33333333333333331</v>
      </c>
      <c r="E4" s="29">
        <v>0.34722222222222227</v>
      </c>
      <c r="F4" s="29">
        <v>0.37361111111111112</v>
      </c>
      <c r="G4" s="29">
        <v>0.59722222222222221</v>
      </c>
      <c r="H4" s="29">
        <v>0.60416666666666663</v>
      </c>
      <c r="I4" s="29">
        <v>0.62847222222222221</v>
      </c>
      <c r="J4" s="27">
        <v>0.65625</v>
      </c>
      <c r="K4" s="37"/>
      <c r="M4" s="3"/>
      <c r="N4" s="3" t="s">
        <v>16</v>
      </c>
      <c r="O4" s="2">
        <f>Tabla53[[#This Row],[FECHA]]</f>
        <v>44929</v>
      </c>
      <c r="P4" s="1">
        <f>D4</f>
        <v>0.33333333333333331</v>
      </c>
      <c r="Q4" s="1">
        <f t="shared" ref="Q4:S7" si="0">E4-D4</f>
        <v>1.3888888888888951E-2</v>
      </c>
      <c r="R4" s="1">
        <f t="shared" si="0"/>
        <v>2.6388888888888851E-2</v>
      </c>
      <c r="S4" s="1">
        <f t="shared" si="0"/>
        <v>0.22361111111111109</v>
      </c>
      <c r="T4" s="1">
        <f>+Tabla53[[#This Row],[ALMUERZO]]-Tabla53[[#This Row],[TERMINO ACT. AM]]</f>
        <v>6.9444444444444198E-3</v>
      </c>
      <c r="U4" s="1">
        <f>+Tabla53[[#This Row],[INICIO ACTIVIDADES PM]]-Tabla53[[#This Row],[ALMUERZO]]</f>
        <v>2.430555555555558E-2</v>
      </c>
      <c r="V4" s="1">
        <f>+Tabla53[[#This Row],[TERMINO ACTIVIDADES PM]]-Tabla53[[#This Row],[INICIO ACTIVIDADES PM]]</f>
        <v>2.777777777777779E-2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44930</v>
      </c>
      <c r="D5" s="29">
        <v>0.33680555555555558</v>
      </c>
      <c r="E5" s="29">
        <v>0.35416666666666669</v>
      </c>
      <c r="F5" s="29">
        <v>0.3659722222222222</v>
      </c>
      <c r="G5" s="29">
        <v>0.60763888888888895</v>
      </c>
      <c r="H5" s="29">
        <v>0.61458333333333337</v>
      </c>
      <c r="I5" s="29">
        <v>0.64236111111111105</v>
      </c>
      <c r="J5" s="27">
        <v>0.65972222222222221</v>
      </c>
      <c r="K5" s="37"/>
      <c r="M5" s="3"/>
      <c r="N5" s="3" t="s">
        <v>16</v>
      </c>
      <c r="O5" s="2">
        <f>Tabla53[[#This Row],[FECHA]]</f>
        <v>44930</v>
      </c>
      <c r="P5" s="1">
        <f>D5</f>
        <v>0.33680555555555558</v>
      </c>
      <c r="Q5" s="1">
        <f t="shared" si="0"/>
        <v>1.7361111111111105E-2</v>
      </c>
      <c r="R5" s="1">
        <f t="shared" si="0"/>
        <v>1.1805555555555514E-2</v>
      </c>
      <c r="S5" s="1">
        <f t="shared" si="0"/>
        <v>0.24166666666666675</v>
      </c>
      <c r="T5" s="1">
        <f>+Tabla53[[#This Row],[ALMUERZO]]-Tabla53[[#This Row],[TERMINO ACT. AM]]</f>
        <v>6.9444444444444198E-3</v>
      </c>
      <c r="U5" s="1">
        <f>+Tabla53[[#This Row],[INICIO ACTIVIDADES PM]]-Tabla53[[#This Row],[ALMUERZO]]</f>
        <v>2.7777777777777679E-2</v>
      </c>
      <c r="V5" s="1">
        <f>+Tabla53[[#This Row],[TERMINO ACTIVIDADES PM]]-Tabla53[[#This Row],[INICIO ACTIVIDADES PM]]</f>
        <v>1.736111111111116E-2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44931</v>
      </c>
      <c r="D6" s="29">
        <v>0.33680555555555558</v>
      </c>
      <c r="E6" s="29">
        <v>0.3576388888888889</v>
      </c>
      <c r="F6" s="29">
        <v>0.36944444444444446</v>
      </c>
      <c r="G6" s="29">
        <v>0.60416666666666663</v>
      </c>
      <c r="H6" s="29">
        <v>0.61458333333333337</v>
      </c>
      <c r="I6" s="29">
        <v>0.63541666666666663</v>
      </c>
      <c r="J6" s="27">
        <v>0.65972222222222221</v>
      </c>
      <c r="K6" s="37"/>
      <c r="M6" s="3"/>
      <c r="N6" s="3" t="s">
        <v>17</v>
      </c>
      <c r="O6" s="2">
        <f>Tabla53[[#This Row],[FECHA]]</f>
        <v>44931</v>
      </c>
      <c r="P6" s="1">
        <f>D6</f>
        <v>0.33680555555555558</v>
      </c>
      <c r="Q6" s="1">
        <f t="shared" si="0"/>
        <v>2.0833333333333315E-2</v>
      </c>
      <c r="R6" s="1">
        <f t="shared" si="0"/>
        <v>1.1805555555555569E-2</v>
      </c>
      <c r="S6" s="1">
        <f t="shared" si="0"/>
        <v>0.23472222222222217</v>
      </c>
      <c r="T6" s="1">
        <f>+Tabla53[[#This Row],[ALMUERZO]]-Tabla53[[#This Row],[TERMINO ACT. AM]]</f>
        <v>1.0416666666666741E-2</v>
      </c>
      <c r="U6" s="1">
        <f>+Tabla53[[#This Row],[INICIO ACTIVIDADES PM]]-Tabla53[[#This Row],[ALMUERZO]]</f>
        <v>2.0833333333333259E-2</v>
      </c>
      <c r="V6" s="1">
        <f>+Tabla53[[#This Row],[TERMINO ACTIVIDADES PM]]-Tabla53[[#This Row],[INICIO ACTIVIDADES PM]]</f>
        <v>2.430555555555558E-2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44932</v>
      </c>
      <c r="D7" s="29">
        <v>0.33680555555555558</v>
      </c>
      <c r="E7" s="29">
        <v>0.3576388888888889</v>
      </c>
      <c r="F7" s="29">
        <v>0.375</v>
      </c>
      <c r="G7" s="29">
        <v>0.61111111111111105</v>
      </c>
      <c r="H7" s="29">
        <v>0.61805555555555558</v>
      </c>
      <c r="I7" s="29">
        <v>0.64583333333333337</v>
      </c>
      <c r="J7" s="27">
        <v>0.65972222222222199</v>
      </c>
      <c r="K7" s="37"/>
      <c r="M7" s="3"/>
      <c r="N7" s="3" t="s">
        <v>18</v>
      </c>
      <c r="O7" s="2">
        <f>Tabla53[[#This Row],[FECHA]]</f>
        <v>44932</v>
      </c>
      <c r="P7" s="1">
        <f>D7</f>
        <v>0.33680555555555558</v>
      </c>
      <c r="Q7" s="1">
        <f t="shared" si="0"/>
        <v>2.0833333333333315E-2</v>
      </c>
      <c r="R7" s="1">
        <f t="shared" si="0"/>
        <v>1.7361111111111105E-2</v>
      </c>
      <c r="S7" s="1">
        <f t="shared" si="0"/>
        <v>0.23611111111111105</v>
      </c>
      <c r="T7" s="1">
        <f>+Tabla53[[#This Row],[ALMUERZO]]-Tabla53[[#This Row],[TERMINO ACT. AM]]</f>
        <v>6.9444444444445308E-3</v>
      </c>
      <c r="U7" s="1">
        <f>+Tabla53[[#This Row],[INICIO ACTIVIDADES PM]]-Tabla53[[#This Row],[ALMUERZO]]</f>
        <v>2.777777777777779E-2</v>
      </c>
      <c r="V7" s="1">
        <f>+Tabla53[[#This Row],[TERMINO ACTIVIDADES PM]]-Tabla53[[#This Row],[INICIO ACTIVIDADES PM]]</f>
        <v>1.3888888888888618E-2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/>
      <c r="N9" s="3"/>
      <c r="O9" s="2"/>
      <c r="T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T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T12" s="1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0.25138888888888888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0.25902777777777791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0.25902777777777775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0.24999999999999967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0.25486111111111104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1.0194444444444442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J27" s="162" t="s">
        <v>105</v>
      </c>
      <c r="K27" s="163" t="s">
        <v>103</v>
      </c>
      <c r="T27" s="1"/>
    </row>
    <row r="28" spans="1:20" ht="15.6" customHeight="1" x14ac:dyDescent="0.25">
      <c r="J28" s="162"/>
      <c r="K28" s="164"/>
      <c r="T28" s="1"/>
    </row>
    <row r="29" spans="1:20" ht="15.6" customHeight="1" x14ac:dyDescent="0.25">
      <c r="J29" s="162"/>
      <c r="K29" s="164"/>
      <c r="T29" s="1"/>
    </row>
    <row r="30" spans="1:20" ht="15.6" customHeight="1" x14ac:dyDescent="0.25">
      <c r="J30" s="162"/>
      <c r="K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I5" sqref="I5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3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62" t="s">
        <v>130</v>
      </c>
      <c r="L3" s="38"/>
      <c r="M3" s="3"/>
      <c r="N3" s="39" t="s">
        <v>15</v>
      </c>
      <c r="O3" s="2">
        <f>Tabla53839[[#This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+Tabla53839[[#This Row],[ALMUERZO]]-Tabla53839[[#This Row],[TERMINO ACT. AM]]</f>
        <v>0</v>
      </c>
      <c r="U3" s="1">
        <f>+Tabla53839[[#This Row],[INICIO ACTIVIDADES PM]]-Tabla53839[[#This Row],[ALMUERZO]]</f>
        <v>0</v>
      </c>
      <c r="V3" s="1">
        <f>+Tabla53839[[#This Row],[TERMINO ACTIVIDADES PM]]-Tabla53839[[#This Row],[INICIO ACTIVIDADES PM]]</f>
        <v>0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44929</v>
      </c>
      <c r="D4" s="29">
        <v>0.64583333333333337</v>
      </c>
      <c r="E4" s="29">
        <v>0.68055555555555547</v>
      </c>
      <c r="F4" s="29">
        <v>0.68055555555555547</v>
      </c>
      <c r="G4" s="29">
        <v>0.93055555555555547</v>
      </c>
      <c r="H4" s="29">
        <v>0.9375</v>
      </c>
      <c r="I4" s="29">
        <v>0.96527777777777779</v>
      </c>
      <c r="J4" s="27">
        <v>0.97916666666666663</v>
      </c>
      <c r="K4" s="62" t="s">
        <v>94</v>
      </c>
      <c r="M4" s="3"/>
      <c r="N4" s="3" t="s">
        <v>16</v>
      </c>
      <c r="O4" s="2">
        <f>Tabla53839[[#This Row],[FECHA]]</f>
        <v>44929</v>
      </c>
      <c r="P4" s="1">
        <f>D4</f>
        <v>0.64583333333333337</v>
      </c>
      <c r="Q4" s="1">
        <f t="shared" ref="Q4:S7" si="0">E4-D4</f>
        <v>3.4722222222222099E-2</v>
      </c>
      <c r="R4" s="1">
        <f t="shared" si="0"/>
        <v>0</v>
      </c>
      <c r="S4" s="1">
        <f t="shared" si="0"/>
        <v>0.25</v>
      </c>
      <c r="T4" s="1">
        <f>+Tabla53839[[#This Row],[ALMUERZO]]-Tabla53839[[#This Row],[TERMINO ACT. AM]]</f>
        <v>6.9444444444445308E-3</v>
      </c>
      <c r="U4" s="1">
        <f>+Tabla53839[[#This Row],[INICIO ACTIVIDADES PM]]-Tabla53839[[#This Row],[ALMUERZO]]</f>
        <v>2.777777777777779E-2</v>
      </c>
      <c r="V4" s="1">
        <f>+Tabla53839[[#This Row],[TERMINO ACTIVIDADES PM]]-Tabla53839[[#This Row],[INICIO ACTIVIDADES PM]]</f>
        <v>1.388888888888884E-2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44930</v>
      </c>
      <c r="D5" s="29">
        <v>0.64583333333333337</v>
      </c>
      <c r="E5" s="29">
        <v>0.68402777777777779</v>
      </c>
      <c r="F5" s="29">
        <v>0.69444444444444453</v>
      </c>
      <c r="G5" s="29">
        <v>0.89583333333333337</v>
      </c>
      <c r="H5" s="29">
        <v>0.90277777777777779</v>
      </c>
      <c r="I5" s="29">
        <v>0.93402777777777779</v>
      </c>
      <c r="J5" s="27">
        <v>0.97916666666666663</v>
      </c>
      <c r="K5" s="62" t="s">
        <v>94</v>
      </c>
      <c r="M5" s="3"/>
      <c r="N5" s="3" t="s">
        <v>16</v>
      </c>
      <c r="O5" s="2">
        <f>Tabla53839[[#This Row],[FECHA]]</f>
        <v>44930</v>
      </c>
      <c r="P5" s="1">
        <f>D5</f>
        <v>0.64583333333333337</v>
      </c>
      <c r="Q5" s="1">
        <f t="shared" si="0"/>
        <v>3.819444444444442E-2</v>
      </c>
      <c r="R5" s="1">
        <f t="shared" si="0"/>
        <v>1.0416666666666741E-2</v>
      </c>
      <c r="S5" s="1">
        <f t="shared" si="0"/>
        <v>0.20138888888888884</v>
      </c>
      <c r="T5" s="1">
        <f>+Tabla53839[[#This Row],[ALMUERZO]]-Tabla53839[[#This Row],[TERMINO ACT. AM]]</f>
        <v>6.9444444444444198E-3</v>
      </c>
      <c r="U5" s="1">
        <f>+Tabla53839[[#This Row],[INICIO ACTIVIDADES PM]]-Tabla53839[[#This Row],[ALMUERZO]]</f>
        <v>3.125E-2</v>
      </c>
      <c r="V5" s="1">
        <f>+Tabla53839[[#This Row],[TERMINO ACTIVIDADES PM]]-Tabla53839[[#This Row],[INICIO ACTIVIDADES PM]]</f>
        <v>4.513888888888884E-2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44931</v>
      </c>
      <c r="D6" s="29">
        <v>0.64583333333333337</v>
      </c>
      <c r="E6" s="29">
        <v>0.6875</v>
      </c>
      <c r="F6" s="29">
        <v>0.69444444444444453</v>
      </c>
      <c r="G6" s="29">
        <v>0.88888888888888884</v>
      </c>
      <c r="H6" s="29">
        <v>0.89583333333333337</v>
      </c>
      <c r="I6" s="29">
        <v>0.92708333333333337</v>
      </c>
      <c r="J6" s="27">
        <v>0.97916666666666663</v>
      </c>
      <c r="K6" s="62" t="s">
        <v>94</v>
      </c>
      <c r="M6" s="3"/>
      <c r="N6" s="3" t="s">
        <v>17</v>
      </c>
      <c r="O6" s="2">
        <f>Tabla53839[[#This Row],[FECHA]]</f>
        <v>44931</v>
      </c>
      <c r="P6" s="1">
        <f>D6</f>
        <v>0.64583333333333337</v>
      </c>
      <c r="Q6" s="1">
        <f t="shared" si="0"/>
        <v>4.166666666666663E-2</v>
      </c>
      <c r="R6" s="1">
        <f t="shared" si="0"/>
        <v>6.9444444444445308E-3</v>
      </c>
      <c r="S6" s="1">
        <f t="shared" si="0"/>
        <v>0.19444444444444431</v>
      </c>
      <c r="T6" s="1">
        <f>+Tabla53839[[#This Row],[ALMUERZO]]-Tabla53839[[#This Row],[TERMINO ACT. AM]]</f>
        <v>6.9444444444445308E-3</v>
      </c>
      <c r="U6" s="1">
        <f>+Tabla53839[[#This Row],[INICIO ACTIVIDADES PM]]-Tabla53839[[#This Row],[ALMUERZO]]</f>
        <v>3.125E-2</v>
      </c>
      <c r="V6" s="1">
        <f>+Tabla53839[[#This Row],[TERMINO ACTIVIDADES PM]]-Tabla53839[[#This Row],[INICIO ACTIVIDADES PM]]</f>
        <v>5.2083333333333259E-2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44932</v>
      </c>
      <c r="D7" s="29">
        <v>0.64583333333333337</v>
      </c>
      <c r="E7" s="29">
        <v>0.69097222222222221</v>
      </c>
      <c r="F7" s="29">
        <v>0.69930555555555562</v>
      </c>
      <c r="G7" s="29">
        <v>0.90277777777777779</v>
      </c>
      <c r="H7" s="29">
        <v>0.90625</v>
      </c>
      <c r="I7" s="29">
        <v>0.93194444444444446</v>
      </c>
      <c r="J7" s="27">
        <v>0.97916666666666663</v>
      </c>
      <c r="K7" s="62" t="s">
        <v>94</v>
      </c>
      <c r="M7" s="3"/>
      <c r="N7" s="3" t="s">
        <v>18</v>
      </c>
      <c r="O7" s="2">
        <f>Tabla53839[[#This Row],[FECHA]]</f>
        <v>44932</v>
      </c>
      <c r="P7" s="1">
        <f>D7</f>
        <v>0.64583333333333337</v>
      </c>
      <c r="Q7" s="1">
        <f t="shared" si="0"/>
        <v>4.513888888888884E-2</v>
      </c>
      <c r="R7" s="1">
        <f t="shared" si="0"/>
        <v>8.3333333333334147E-3</v>
      </c>
      <c r="S7" s="1">
        <f t="shared" si="0"/>
        <v>0.20347222222222217</v>
      </c>
      <c r="T7" s="1">
        <f>+Tabla53839[[#This Row],[ALMUERZO]]-Tabla53839[[#This Row],[TERMINO ACT. AM]]</f>
        <v>3.4722222222222099E-3</v>
      </c>
      <c r="U7" s="1">
        <f>+Tabla53839[[#This Row],[INICIO ACTIVIDADES PM]]-Tabla53839[[#This Row],[ALMUERZO]]</f>
        <v>2.5694444444444464E-2</v>
      </c>
      <c r="V7" s="1">
        <f>+Tabla53839[[#This Row],[TERMINO ACTIVIDADES PM]]-Tabla53839[[#This Row],[INICIO ACTIVIDADES PM]]</f>
        <v>4.7222222222222165E-2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82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0.26388888888888884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0.24652777777777768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0.24652777777777757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0.25069444444444433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0.25190972222222208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1.0076388888888883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62" t="s">
        <v>105</v>
      </c>
      <c r="I27" s="163" t="s">
        <v>104</v>
      </c>
      <c r="T27" s="1"/>
    </row>
    <row r="28" spans="1:20" ht="15.6" customHeight="1" x14ac:dyDescent="0.25">
      <c r="H28" s="162"/>
      <c r="I28" s="164"/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G7" sqref="G7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24" t="s">
        <v>0</v>
      </c>
      <c r="D1" s="25">
        <v>0.3125</v>
      </c>
      <c r="E1" s="25">
        <v>0.35416666666666669</v>
      </c>
      <c r="F1" s="25">
        <v>0.36458333333333331</v>
      </c>
      <c r="G1" s="25">
        <v>0.58333333333333337</v>
      </c>
      <c r="H1" s="25">
        <v>0.61111111111111105</v>
      </c>
      <c r="I1" s="25">
        <v>0.61805555555555558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44928</v>
      </c>
      <c r="D3" s="29"/>
      <c r="E3" s="29"/>
      <c r="F3" s="29"/>
      <c r="G3" s="29"/>
      <c r="H3" s="29"/>
      <c r="I3" s="29"/>
      <c r="J3" s="27"/>
      <c r="K3" s="37" t="s">
        <v>130</v>
      </c>
      <c r="L3" s="38"/>
      <c r="M3" s="38"/>
      <c r="N3" s="39" t="s">
        <v>15</v>
      </c>
      <c r="O3" s="2">
        <f>Tabla5383940[[#This Row],[FECHA]]</f>
        <v>44928</v>
      </c>
      <c r="P3" s="1">
        <f>D3</f>
        <v>0</v>
      </c>
      <c r="Q3" s="1">
        <f>E3-D3</f>
        <v>0</v>
      </c>
      <c r="R3" s="1">
        <f>F3-E3</f>
        <v>0</v>
      </c>
      <c r="S3" s="1">
        <f>G3-F3</f>
        <v>0</v>
      </c>
      <c r="T3" s="1">
        <f>+Tabla5383940[[#This Row],[ALMUERZO]]-Tabla5383940[[#This Row],[TERMINO ACT. AM]]</f>
        <v>0</v>
      </c>
      <c r="U3" s="1">
        <f>+Tabla5383940[[#This Row],[INICIO ACTIVIDADES PM]]-Tabla5383940[[#This Row],[ALMUERZO]]</f>
        <v>0</v>
      </c>
      <c r="V3" s="1">
        <f>+Tabla5383940[[#This Row],[TERMINO ACTIVIDADES PM]]-Tabla5383940[[#This Row],[INICIO ACTIVIDADES PM]]</f>
        <v>0</v>
      </c>
      <c r="W3" s="1">
        <f>+$D$1</f>
        <v>0.3125</v>
      </c>
      <c r="X3" s="1">
        <f>+$E$1</f>
        <v>0.35416666666666669</v>
      </c>
      <c r="Y3" s="1">
        <f>+$F$1</f>
        <v>0.36458333333333331</v>
      </c>
      <c r="Z3" s="1">
        <f>+$G$1</f>
        <v>0.58333333333333337</v>
      </c>
      <c r="AA3" s="1">
        <f>+$H$1</f>
        <v>0.61111111111111105</v>
      </c>
      <c r="AB3" s="1">
        <f>+$I$1</f>
        <v>0.61805555555555558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44929</v>
      </c>
      <c r="D4" s="29">
        <v>0.3125</v>
      </c>
      <c r="E4" s="29">
        <v>0.35069444444444442</v>
      </c>
      <c r="F4" s="29">
        <v>0.37152777777777773</v>
      </c>
      <c r="G4" s="29">
        <v>0.58333333333333337</v>
      </c>
      <c r="H4" s="29">
        <v>0.59375</v>
      </c>
      <c r="I4" s="29">
        <v>0.61805555555555558</v>
      </c>
      <c r="J4" s="27">
        <v>0.65625</v>
      </c>
      <c r="K4" s="37"/>
      <c r="M4" s="3"/>
      <c r="N4" s="3" t="s">
        <v>16</v>
      </c>
      <c r="O4" s="2">
        <f>Tabla5383940[[#This Row],[FECHA]]</f>
        <v>44929</v>
      </c>
      <c r="P4" s="1">
        <f>D4</f>
        <v>0.3125</v>
      </c>
      <c r="Q4" s="1">
        <f t="shared" ref="Q4:S7" si="0">E4-D4</f>
        <v>3.819444444444442E-2</v>
      </c>
      <c r="R4" s="1">
        <f t="shared" si="0"/>
        <v>2.0833333333333315E-2</v>
      </c>
      <c r="S4" s="1">
        <f t="shared" si="0"/>
        <v>0.21180555555555564</v>
      </c>
      <c r="T4" s="1">
        <f>+Tabla5383940[[#This Row],[ALMUERZO]]-Tabla5383940[[#This Row],[TERMINO ACT. AM]]</f>
        <v>1.041666666666663E-2</v>
      </c>
      <c r="U4" s="1">
        <f>+Tabla5383940[[#This Row],[INICIO ACTIVIDADES PM]]-Tabla5383940[[#This Row],[ALMUERZO]]</f>
        <v>2.430555555555558E-2</v>
      </c>
      <c r="V4" s="1">
        <f>+Tabla5383940[[#This Row],[TERMINO ACTIVIDADES PM]]-Tabla5383940[[#This Row],[INICIO ACTIVIDADES PM]]</f>
        <v>3.819444444444442E-2</v>
      </c>
      <c r="W4" s="1">
        <f t="shared" ref="W4:W7" si="1">+$D$1</f>
        <v>0.3125</v>
      </c>
      <c r="X4" s="1">
        <f t="shared" ref="X4:X7" si="2">+$E$1</f>
        <v>0.35416666666666669</v>
      </c>
      <c r="Y4" s="1">
        <f t="shared" ref="Y4:Y7" si="3">+$F$1</f>
        <v>0.36458333333333331</v>
      </c>
      <c r="Z4" s="1">
        <f t="shared" ref="Z4:Z7" si="4">+$G$1</f>
        <v>0.58333333333333337</v>
      </c>
      <c r="AA4" s="1">
        <f t="shared" ref="AA4:AA7" si="5">+$H$1</f>
        <v>0.61111111111111105</v>
      </c>
      <c r="AB4" s="1">
        <f t="shared" ref="AB4:AB7" si="6">+$I$1</f>
        <v>0.61805555555555558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44930</v>
      </c>
      <c r="D5" s="29">
        <v>0.3125</v>
      </c>
      <c r="E5" s="29">
        <v>0.35069444444444442</v>
      </c>
      <c r="F5" s="29">
        <v>0.36805555555555558</v>
      </c>
      <c r="G5" s="29">
        <v>0.57638888888888895</v>
      </c>
      <c r="H5" s="29">
        <v>0.58333333333333337</v>
      </c>
      <c r="I5" s="29">
        <v>0.61111111111111105</v>
      </c>
      <c r="J5" s="27">
        <v>0.65625</v>
      </c>
      <c r="K5" s="37"/>
      <c r="M5" s="3"/>
      <c r="N5" s="3" t="s">
        <v>16</v>
      </c>
      <c r="O5" s="2">
        <f>Tabla5383940[[#This Row],[FECHA]]</f>
        <v>44930</v>
      </c>
      <c r="P5" s="1">
        <f>D5</f>
        <v>0.3125</v>
      </c>
      <c r="Q5" s="1">
        <f t="shared" si="0"/>
        <v>3.819444444444442E-2</v>
      </c>
      <c r="R5" s="1">
        <f t="shared" si="0"/>
        <v>1.736111111111116E-2</v>
      </c>
      <c r="S5" s="1">
        <f t="shared" si="0"/>
        <v>0.20833333333333337</v>
      </c>
      <c r="T5" s="1">
        <f>+Tabla5383940[[#This Row],[ALMUERZO]]-Tabla5383940[[#This Row],[TERMINO ACT. AM]]</f>
        <v>6.9444444444444198E-3</v>
      </c>
      <c r="U5" s="1">
        <f>+Tabla5383940[[#This Row],[INICIO ACTIVIDADES PM]]-Tabla5383940[[#This Row],[ALMUERZO]]</f>
        <v>2.7777777777777679E-2</v>
      </c>
      <c r="V5" s="1">
        <f>+Tabla5383940[[#This Row],[TERMINO ACTIVIDADES PM]]-Tabla5383940[[#This Row],[INICIO ACTIVIDADES PM]]</f>
        <v>4.5138888888888951E-2</v>
      </c>
      <c r="W5" s="1">
        <f t="shared" si="1"/>
        <v>0.3125</v>
      </c>
      <c r="X5" s="1">
        <f t="shared" si="2"/>
        <v>0.35416666666666669</v>
      </c>
      <c r="Y5" s="1">
        <f t="shared" si="3"/>
        <v>0.36458333333333331</v>
      </c>
      <c r="Z5" s="1">
        <f t="shared" si="4"/>
        <v>0.58333333333333337</v>
      </c>
      <c r="AA5" s="1">
        <f t="shared" si="5"/>
        <v>0.61111111111111105</v>
      </c>
      <c r="AB5" s="1">
        <f t="shared" si="6"/>
        <v>0.61805555555555558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44931</v>
      </c>
      <c r="D6" s="29">
        <v>0.3125</v>
      </c>
      <c r="E6" s="29">
        <v>0.34375</v>
      </c>
      <c r="F6" s="29">
        <v>0.36458333333333331</v>
      </c>
      <c r="G6" s="29">
        <v>0.57986111111111105</v>
      </c>
      <c r="H6" s="29">
        <v>0.59027777777777779</v>
      </c>
      <c r="I6" s="29">
        <v>0.61805555555555558</v>
      </c>
      <c r="J6" s="27">
        <v>0.65277777777777779</v>
      </c>
      <c r="K6" s="37"/>
      <c r="M6" s="3"/>
      <c r="N6" s="3" t="s">
        <v>17</v>
      </c>
      <c r="O6" s="2">
        <f>Tabla5383940[[#This Row],[FECHA]]</f>
        <v>44931</v>
      </c>
      <c r="P6" s="1">
        <f>D6</f>
        <v>0.3125</v>
      </c>
      <c r="Q6" s="1">
        <f t="shared" si="0"/>
        <v>3.125E-2</v>
      </c>
      <c r="R6" s="1">
        <f t="shared" si="0"/>
        <v>2.0833333333333315E-2</v>
      </c>
      <c r="S6" s="1">
        <f t="shared" si="0"/>
        <v>0.21527777777777773</v>
      </c>
      <c r="T6" s="1">
        <f>+Tabla5383940[[#This Row],[ALMUERZO]]-Tabla5383940[[#This Row],[TERMINO ACT. AM]]</f>
        <v>1.0416666666666741E-2</v>
      </c>
      <c r="U6" s="1">
        <f>+Tabla5383940[[#This Row],[INICIO ACTIVIDADES PM]]-Tabla5383940[[#This Row],[ALMUERZO]]</f>
        <v>2.777777777777779E-2</v>
      </c>
      <c r="V6" s="1">
        <f>+Tabla5383940[[#This Row],[TERMINO ACTIVIDADES PM]]-Tabla5383940[[#This Row],[INICIO ACTIVIDADES PM]]</f>
        <v>3.472222222222221E-2</v>
      </c>
      <c r="W6" s="1">
        <f t="shared" si="1"/>
        <v>0.3125</v>
      </c>
      <c r="X6" s="1">
        <f t="shared" si="2"/>
        <v>0.35416666666666669</v>
      </c>
      <c r="Y6" s="1">
        <f t="shared" si="3"/>
        <v>0.36458333333333331</v>
      </c>
      <c r="Z6" s="1">
        <f t="shared" si="4"/>
        <v>0.58333333333333337</v>
      </c>
      <c r="AA6" s="1">
        <f t="shared" si="5"/>
        <v>0.61111111111111105</v>
      </c>
      <c r="AB6" s="1">
        <f t="shared" si="6"/>
        <v>0.61805555555555558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44932</v>
      </c>
      <c r="D7" s="29">
        <v>0.3125</v>
      </c>
      <c r="E7" s="29">
        <v>0.34375</v>
      </c>
      <c r="F7" s="29">
        <v>0.36805555555555558</v>
      </c>
      <c r="G7" s="29">
        <v>0.58680555555555558</v>
      </c>
      <c r="H7" s="29">
        <v>0.59722222222222221</v>
      </c>
      <c r="I7" s="29">
        <v>0.62847222222222221</v>
      </c>
      <c r="J7" s="27">
        <v>0.65277777777777779</v>
      </c>
      <c r="K7" s="37"/>
      <c r="M7" s="3"/>
      <c r="N7" s="3" t="s">
        <v>18</v>
      </c>
      <c r="O7" s="2">
        <f>Tabla5383940[[#This Row],[FECHA]]</f>
        <v>44932</v>
      </c>
      <c r="P7" s="1">
        <f>D7</f>
        <v>0.3125</v>
      </c>
      <c r="Q7" s="1">
        <f t="shared" si="0"/>
        <v>3.125E-2</v>
      </c>
      <c r="R7" s="1">
        <f t="shared" si="0"/>
        <v>2.430555555555558E-2</v>
      </c>
      <c r="S7" s="1">
        <f t="shared" si="0"/>
        <v>0.21875</v>
      </c>
      <c r="T7" s="1">
        <f>+Tabla5383940[[#This Row],[ALMUERZO]]-Tabla5383940[[#This Row],[TERMINO ACT. AM]]</f>
        <v>1.041666666666663E-2</v>
      </c>
      <c r="U7" s="1">
        <f>+Tabla5383940[[#This Row],[INICIO ACTIVIDADES PM]]-Tabla5383940[[#This Row],[ALMUERZO]]</f>
        <v>3.125E-2</v>
      </c>
      <c r="V7" s="1">
        <f>+Tabla5383940[[#This Row],[TERMINO ACTIVIDADES PM]]-Tabla5383940[[#This Row],[INICIO ACTIVIDADES PM]]</f>
        <v>2.430555555555558E-2</v>
      </c>
      <c r="W7" s="1">
        <f t="shared" si="1"/>
        <v>0.3125</v>
      </c>
      <c r="X7" s="1">
        <f t="shared" si="2"/>
        <v>0.35416666666666669</v>
      </c>
      <c r="Y7" s="1">
        <f t="shared" si="3"/>
        <v>0.36458333333333331</v>
      </c>
      <c r="Z7" s="1">
        <f t="shared" si="4"/>
        <v>0.58333333333333337</v>
      </c>
      <c r="AA7" s="1">
        <f t="shared" si="5"/>
        <v>0.61111111111111105</v>
      </c>
      <c r="AB7" s="1">
        <f t="shared" si="6"/>
        <v>0.61805555555555558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Tabla5383940[[#This Row],[Columna1]]</f>
        <v>0</v>
      </c>
      <c r="N9" s="3"/>
      <c r="O9" s="2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83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0.25000000000000006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0.25347222222222232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0.24999999999999994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0.24305555555555558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0.24913194444444448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0.9965277777777779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103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La junta</vt:lpstr>
      <vt:lpstr>AC</vt:lpstr>
      <vt:lpstr>Colec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2023-02-14T19:53:31Z</dcterms:modified>
</cp:coreProperties>
</file>