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25FFE90B-3B1E-49A3-92E7-28E8FC26DE13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D15" i="30" s="1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<sst xmlns="http://schemas.openxmlformats.org/spreadsheetml/2006/main" count="1110" uniqueCount="129">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</sst>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20" fontId="10" fillId="0" borderId="0" xfId="0" applyNumberFormat="1" applyFont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 xr:uid="{00000000-0005-0000-0000-000001000000}"/>
    <cellStyle name="Normal 3" xfId="2" xr:uid="{00000000-0005-0000-0000-000002000000}"/>
    <cellStyle name="Normal 4" xfId="4" xr:uid="{00000000-0005-0000-0000-000003000000}"/>
    <cellStyle name="Porcentaje" xfId="1" builtinId="5"/>
    <cellStyle name="Porcentaje 2" xfId="5" xr:uid="{00000000-0005-0000-0000-000005000000}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2.4305555555555525E-2</c:v>
                </c:pt>
                <c:pt idx="2">
                  <c:v>2.430555555555558E-2</c:v>
                </c:pt>
                <c:pt idx="3">
                  <c:v>2.7777777777777735E-2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1.736111111111116E-2</c:v>
                </c:pt>
                <c:pt idx="2">
                  <c:v>1.2500000000000067E-2</c:v>
                </c:pt>
                <c:pt idx="3">
                  <c:v>1.3888888888888951E-2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0.21180555555555552</c:v>
                </c:pt>
                <c:pt idx="2">
                  <c:v>0.23402777777777767</c:v>
                </c:pt>
                <c:pt idx="3">
                  <c:v>0.23263888888888878</c:v>
                </c:pt>
                <c:pt idx="4">
                  <c:v>0.22777777777777775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2.430555555555558E-2</c:v>
                </c:pt>
                <c:pt idx="2">
                  <c:v>3.125E-2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1.0416666666666408E-2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1.3194444444444509E-2</c:v>
                </c:pt>
                <c:pt idx="2">
                  <c:v>5.9027777777777901E-2</c:v>
                </c:pt>
                <c:pt idx="3">
                  <c:v>2.5000000000000133E-2</c:v>
                </c:pt>
                <c:pt idx="4">
                  <c:v>2.7083333333333348E-2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0.12916666666666665</c:v>
                </c:pt>
                <c:pt idx="2">
                  <c:v>0.125</c:v>
                </c:pt>
                <c:pt idx="3">
                  <c:v>0.1381944444444444</c:v>
                </c:pt>
                <c:pt idx="4">
                  <c:v>0.14305555555555549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1.0416666666666741E-2</c:v>
                </c:pt>
                <c:pt idx="2">
                  <c:v>6.9444444444443088E-3</c:v>
                </c:pt>
                <c:pt idx="3">
                  <c:v>6.9444444444443088E-3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3.125E-2</c:v>
                </c:pt>
                <c:pt idx="2">
                  <c:v>2.4305555555555691E-2</c:v>
                </c:pt>
                <c:pt idx="3">
                  <c:v>3.125E-2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0.13888888888888884</c:v>
                </c:pt>
                <c:pt idx="2">
                  <c:v>9.9305555555555536E-2</c:v>
                </c:pt>
                <c:pt idx="3">
                  <c:v>0.11805555555555569</c:v>
                </c:pt>
                <c:pt idx="4">
                  <c:v>9.9305555555555536E-2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2.083333333333337E-2</c:v>
                </c:pt>
                <c:pt idx="2">
                  <c:v>2.0833333333333315E-2</c:v>
                </c:pt>
                <c:pt idx="3">
                  <c:v>2.083333333333337E-2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0.17569444444444449</c:v>
                </c:pt>
                <c:pt idx="1">
                  <c:v>0.18055555555555552</c:v>
                </c:pt>
                <c:pt idx="2">
                  <c:v>0.15277777777777773</c:v>
                </c:pt>
                <c:pt idx="3">
                  <c:v>0.1736111111111111</c:v>
                </c:pt>
                <c:pt idx="4">
                  <c:v>0.18055555555555558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1.0416666666666741E-2</c:v>
                </c:pt>
                <c:pt idx="3">
                  <c:v>1.388888888888884E-2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7.9861111111111382E-2</c:v>
                </c:pt>
                <c:pt idx="1">
                  <c:v>8.333333333333337E-2</c:v>
                </c:pt>
                <c:pt idx="2">
                  <c:v>0.10069444444444464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6.9444444444444753E-3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2.5694444444444409E-2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0.16527777777777775</c:v>
                </c:pt>
                <c:pt idx="1">
                  <c:v>0.15972222222222221</c:v>
                </c:pt>
                <c:pt idx="2">
                  <c:v>0.18055555555555558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3.4722222222222099E-3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0.12499999999999978</c:v>
                </c:pt>
                <c:pt idx="1">
                  <c:v>0.13194444444444442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0.34166666666666662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6.9444444444445308E-3</c:v>
                </c:pt>
                <c:pt idx="2">
                  <c:v>1.7361111111111105E-2</c:v>
                </c:pt>
                <c:pt idx="3">
                  <c:v>1.3888888888888951E-2</c:v>
                </c:pt>
                <c:pt idx="4">
                  <c:v>1.3194444444444453E-2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0.2326388888888889</c:v>
                </c:pt>
                <c:pt idx="1">
                  <c:v>0.22916666666666669</c:v>
                </c:pt>
                <c:pt idx="2">
                  <c:v>0.22916666666666663</c:v>
                </c:pt>
                <c:pt idx="3">
                  <c:v>0.23263888888888878</c:v>
                </c:pt>
                <c:pt idx="4">
                  <c:v>0.22638888888888892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1.041666666666663E-2</c:v>
                </c:pt>
                <c:pt idx="2">
                  <c:v>1.0416666666666741E-2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1.736111111111116E-2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1.8055555555555547E-2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2.2222222222222199E-2</c:v>
                </c:pt>
                <c:pt idx="1">
                  <c:v>2.4305555555555525E-2</c:v>
                </c:pt>
                <c:pt idx="2">
                  <c:v>2.7777777777777735E-2</c:v>
                </c:pt>
                <c:pt idx="3">
                  <c:v>2.4305555555555525E-2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0.2416666666666667</c:v>
                </c:pt>
                <c:pt idx="1">
                  <c:v>0.23611111111111116</c:v>
                </c:pt>
                <c:pt idx="2">
                  <c:v>0.15069444444444446</c:v>
                </c:pt>
                <c:pt idx="3">
                  <c:v>0.15833333333333333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2.6388888888888906E-2</c:v>
                </c:pt>
                <c:pt idx="2">
                  <c:v>3.1944444444444442E-2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3.1250000000000222E-2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0.68055555555555547</c:v>
                </c:pt>
                <c:pt idx="2">
                  <c:v>0.68194444444444446</c:v>
                </c:pt>
                <c:pt idx="3">
                  <c:v>0.68055555555555547</c:v>
                </c:pt>
                <c:pt idx="4">
                  <c:v>0.68402777777777779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2.4305555555555691E-2</c:v>
                </c:pt>
                <c:pt idx="2">
                  <c:v>2.083333333333337E-2</c:v>
                </c:pt>
                <c:pt idx="3">
                  <c:v>2.7777777777777901E-2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1.2500000000000067E-2</c:v>
                </c:pt>
                <c:pt idx="1">
                  <c:v>1.041666666666663E-2</c:v>
                </c:pt>
                <c:pt idx="2">
                  <c:v>1.2499999999999956E-2</c:v>
                </c:pt>
                <c:pt idx="3">
                  <c:v>1.041666666666663E-2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0.23749999999999993</c:v>
                </c:pt>
                <c:pt idx="1">
                  <c:v>0.22569444444444442</c:v>
                </c:pt>
                <c:pt idx="2">
                  <c:v>0.23263888888888884</c:v>
                </c:pt>
                <c:pt idx="3">
                  <c:v>0.22083333333333333</c:v>
                </c:pt>
                <c:pt idx="4">
                  <c:v>0.23055555555555562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8.3333333333333037E-3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0.33749999999999997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3.0555555555555614E-2</c:v>
                </c:pt>
                <c:pt idx="1">
                  <c:v>3.819444444444442E-2</c:v>
                </c:pt>
                <c:pt idx="2">
                  <c:v>3.333333333333327E-2</c:v>
                </c:pt>
                <c:pt idx="3">
                  <c:v>3.125E-2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1.2499999999999956E-2</c:v>
                </c:pt>
                <c:pt idx="1">
                  <c:v>1.0416666666666685E-2</c:v>
                </c:pt>
                <c:pt idx="2">
                  <c:v>8.3333333333334147E-3</c:v>
                </c:pt>
                <c:pt idx="3">
                  <c:v>1.3888888888888951E-2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0.20277777777777783</c:v>
                </c:pt>
                <c:pt idx="1">
                  <c:v>0.22847222222222213</c:v>
                </c:pt>
                <c:pt idx="2">
                  <c:v>0.13680555555555557</c:v>
                </c:pt>
                <c:pt idx="3">
                  <c:v>0.19791666666666669</c:v>
                </c:pt>
                <c:pt idx="4">
                  <c:v>0.13194444444444436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1.041666666666663E-2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1.8749999999999933E-2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5.0694444444445153E-2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4.7222222222223054E-2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6.9444444444445308E-3</c:v>
                </c:pt>
                <c:pt idx="2">
                  <c:v>1.1805555555555569E-2</c:v>
                </c:pt>
                <c:pt idx="3">
                  <c:v>1.0416666666666685E-2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0.23611111111111105</c:v>
                </c:pt>
                <c:pt idx="1">
                  <c:v>0.22916666666666669</c:v>
                </c:pt>
                <c:pt idx="2">
                  <c:v>0.23819444444444449</c:v>
                </c:pt>
                <c:pt idx="3">
                  <c:v>0.22916666666666663</c:v>
                </c:pt>
                <c:pt idx="4">
                  <c:v>0.22430555555555548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3.4722222222222654E-3</c:v>
                </c:pt>
                <c:pt idx="2">
                  <c:v>1.3194444444444453E-2</c:v>
                </c:pt>
                <c:pt idx="3">
                  <c:v>1.5277777777777835E-2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0.2326388888888889</c:v>
                </c:pt>
                <c:pt idx="1">
                  <c:v>0.24305555555555558</c:v>
                </c:pt>
                <c:pt idx="2">
                  <c:v>0.23333333333333328</c:v>
                </c:pt>
                <c:pt idx="3">
                  <c:v>0.2312499999999999</c:v>
                </c:pt>
                <c:pt idx="4">
                  <c:v>0.22916666666666669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0</c:v>
                </c:pt>
                <c:pt idx="2">
                  <c:v>1.0416666666666741E-2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3.4722222222221544E-3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3.4722222222217103E-3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1.736111111111116E-2</c:v>
                </c:pt>
                <c:pt idx="2">
                  <c:v>6.9444444444444198E-3</c:v>
                </c:pt>
                <c:pt idx="3">
                  <c:v>1.0416666666666685E-2</c:v>
                </c:pt>
                <c:pt idx="4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0.19097222222222221</c:v>
                </c:pt>
                <c:pt idx="1">
                  <c:v>0.18055555555555552</c:v>
                </c:pt>
                <c:pt idx="2">
                  <c:v>0.19097222222222221</c:v>
                </c:pt>
                <c:pt idx="3">
                  <c:v>0.17708333333333331</c:v>
                </c:pt>
                <c:pt idx="4">
                  <c:v>0.1791666666666667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3.8194444444444531E-2</c:v>
                </c:pt>
                <c:pt idx="2">
                  <c:v>4.8611111111111105E-2</c:v>
                </c:pt>
                <c:pt idx="3">
                  <c:v>1.0416666666666685E-2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2.1527777777777812E-2</c:v>
                </c:pt>
                <c:pt idx="1">
                  <c:v>6.9444444444444198E-3</c:v>
                </c:pt>
                <c:pt idx="2">
                  <c:v>0</c:v>
                </c:pt>
                <c:pt idx="3">
                  <c:v>2.3611111111111083E-2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0.1743055555555556</c:v>
                </c:pt>
                <c:pt idx="1">
                  <c:v>0.21180555555555552</c:v>
                </c:pt>
                <c:pt idx="2">
                  <c:v>0.19791666666666669</c:v>
                </c:pt>
                <c:pt idx="3">
                  <c:v>0.17083333333333345</c:v>
                </c:pt>
                <c:pt idx="4">
                  <c:v>0.21319444444444441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2.430555555555558E-2</c:v>
                </c:pt>
                <c:pt idx="2">
                  <c:v>2.083333333333337E-2</c:v>
                </c:pt>
                <c:pt idx="3">
                  <c:v>2.7777777777777735E-2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1.388888888888884E-2</c:v>
                </c:pt>
                <c:pt idx="3">
                  <c:v>1.8750000000000044E-2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0.23611111111111116</c:v>
                </c:pt>
                <c:pt idx="2">
                  <c:v>0.25</c:v>
                </c:pt>
                <c:pt idx="3">
                  <c:v>0.21388888888888885</c:v>
                </c:pt>
                <c:pt idx="4">
                  <c:v>0.18402777777777773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1.388888888888884E-2</c:v>
                </c:pt>
                <c:pt idx="2">
                  <c:v>1.3888888888888951E-2</c:v>
                </c:pt>
                <c:pt idx="3">
                  <c:v>1.3888888888888951E-2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2.7777777777778012E-2</c:v>
                </c:pt>
                <c:pt idx="2">
                  <c:v>1.5277777777777946E-2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4.4444444444444398E-2</c:v>
                </c:pt>
                <c:pt idx="1">
                  <c:v>3.4722222222222099E-2</c:v>
                </c:pt>
                <c:pt idx="2">
                  <c:v>4.3749999999999956E-2</c:v>
                </c:pt>
                <c:pt idx="3">
                  <c:v>4.166666666666663E-2</c:v>
                </c:pt>
                <c:pt idx="4">
                  <c:v>3.4722222222222099E-2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1.4583333333333393E-2</c:v>
                </c:pt>
                <c:pt idx="1">
                  <c:v>1.3888888888889062E-2</c:v>
                </c:pt>
                <c:pt idx="2">
                  <c:v>8.3333333333333037E-3</c:v>
                </c:pt>
                <c:pt idx="3">
                  <c:v>1.736111111111116E-2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0.22222222222222221</c:v>
                </c:pt>
                <c:pt idx="1">
                  <c:v>0.21527777777777768</c:v>
                </c:pt>
                <c:pt idx="2">
                  <c:v>0.20486111111111116</c:v>
                </c:pt>
                <c:pt idx="3">
                  <c:v>0.22222222222222221</c:v>
                </c:pt>
                <c:pt idx="4">
                  <c:v>0.21736111111111123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6.9444444444443088E-3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6:58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13</xdr:row>
      <xdr:rowOff>106680</xdr:rowOff>
    </xdr:from>
    <xdr:to>
      <xdr:col>5</xdr:col>
      <xdr:colOff>110490</xdr:colOff>
      <xdr:row>21</xdr:row>
      <xdr:rowOff>30480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16200000" flipV="1">
          <a:off x="2512695" y="372808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2186940</xdr:colOff>
      <xdr:row>20</xdr:row>
      <xdr:rowOff>106680</xdr:rowOff>
    </xdr:from>
    <xdr:to>
      <xdr:col>13</xdr:col>
      <xdr:colOff>99060</xdr:colOff>
      <xdr:row>23</xdr:row>
      <xdr:rowOff>121920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423160" y="441960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25</xdr:col>
      <xdr:colOff>22860</xdr:colOff>
      <xdr:row>15</xdr:row>
      <xdr:rowOff>106680</xdr:rowOff>
    </xdr:from>
    <xdr:to>
      <xdr:col>28</xdr:col>
      <xdr:colOff>731520</xdr:colOff>
      <xdr:row>18</xdr:row>
      <xdr:rowOff>175260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8481060" y="342900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24</xdr:col>
      <xdr:colOff>213360</xdr:colOff>
      <xdr:row>17</xdr:row>
      <xdr:rowOff>41910</xdr:rowOff>
    </xdr:from>
    <xdr:to>
      <xdr:col>25</xdr:col>
      <xdr:colOff>22860</xdr:colOff>
      <xdr:row>24</xdr:row>
      <xdr:rowOff>30480</xdr:rowOff>
    </xdr:to>
    <xdr:cxnSp macro="">
      <xdr:nvCxnSpPr>
        <xdr:cNvPr id="15" name="Conector angula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>
          <a:endCxn id="13" idx="1"/>
        </xdr:cNvCxnSpPr>
      </xdr:nvCxnSpPr>
      <xdr:spPr>
        <a:xfrm rot="5400000" flipH="1" flipV="1">
          <a:off x="7728585" y="438340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E000000}" name="Tabla538394041" displayName="Tabla538394041" ref="A2:J23" totalsRowShown="0" headerRowDxfId="54" dataDxfId="53" tableBorderDxfId="52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F000000}" name="Tabla53839404142" displayName="Tabla53839404142" ref="A2:J23" totalsRowShown="0" headerRowDxfId="43" dataDxfId="42" tableBorderDxfId="41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0000000}" name="Tabla5383940414243" displayName="Tabla5383940414243" ref="A2:J23" totalsRowShown="0" headerRowDxfId="32" dataDxfId="31" tableBorderDxfId="30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H4" sqref="H4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49</v>
      </c>
      <c r="B3" s="8" t="s">
        <v>37</v>
      </c>
      <c r="C3" s="2">
        <v>44949</v>
      </c>
      <c r="D3" s="29">
        <v>0.33680555555555558</v>
      </c>
      <c r="E3" s="29">
        <v>0.36458333333333331</v>
      </c>
      <c r="F3" s="29">
        <v>0.38194444444444442</v>
      </c>
      <c r="G3" s="29">
        <v>0.61111111111111105</v>
      </c>
      <c r="H3" s="29">
        <v>0.61805555555555558</v>
      </c>
      <c r="I3" s="29">
        <v>0.64930555555555558</v>
      </c>
      <c r="J3" s="27">
        <v>0.65972222222222199</v>
      </c>
      <c r="K3" s="37"/>
      <c r="L3" s="38"/>
      <c r="M3" s="38"/>
      <c r="N3" s="39" t="s">
        <v>15</v>
      </c>
      <c r="O3" s="2">
        <f>Tabla5[[#This Row],[FECHA]]</f>
        <v>44949</v>
      </c>
      <c r="P3" s="1">
        <f>D3</f>
        <v>0.33680555555555558</v>
      </c>
      <c r="Q3" s="1">
        <f>E3-D3</f>
        <v>2.7777777777777735E-2</v>
      </c>
      <c r="R3" s="1">
        <f>F3-E3</f>
        <v>1.7361111111111105E-2</v>
      </c>
      <c r="S3" s="1">
        <f>G3-F3</f>
        <v>0.22916666666666663</v>
      </c>
      <c r="T3" s="1">
        <f>+Tabla5[[#This Row],[ALMUERZO]]-Tabla5[[#This Row],[TERMINO ACT. AM]]</f>
        <v>6.9444444444445308E-3</v>
      </c>
      <c r="U3" s="1">
        <f>+Tabla5[[#This Row],[INICIO ACTIVIDADES PM]]-Tabla5[[#This Row],[ALMUERZO]]</f>
        <v>3.125E-2</v>
      </c>
      <c r="V3" s="1">
        <f>+Tabla5[[#This Row],[TERMINO ACTIVIDADES PM]]-Tabla5[[#This Row],[INICIO ACTIVIDADES PM]]</f>
        <v>1.0416666666666408E-2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49</v>
      </c>
      <c r="B4" s="8" t="s">
        <v>26</v>
      </c>
      <c r="C4" s="2">
        <v>44950</v>
      </c>
      <c r="D4" s="29">
        <v>0.33680555555555558</v>
      </c>
      <c r="E4" s="29">
        <v>0.3611111111111111</v>
      </c>
      <c r="F4" s="29">
        <v>0.37847222222222227</v>
      </c>
      <c r="G4" s="29">
        <v>0.59027777777777779</v>
      </c>
      <c r="H4" s="29">
        <v>0.59722222222222221</v>
      </c>
      <c r="I4" s="29">
        <v>0.62152777777777779</v>
      </c>
      <c r="J4" s="27">
        <v>0.65972222222222199</v>
      </c>
      <c r="K4" s="37"/>
      <c r="M4" s="3"/>
      <c r="N4" s="3" t="s">
        <v>16</v>
      </c>
      <c r="O4" s="2">
        <f>Tabla5[[#This Row],[FECHA]]</f>
        <v>44950</v>
      </c>
      <c r="P4" s="1">
        <f>D4</f>
        <v>0.33680555555555558</v>
      </c>
      <c r="Q4" s="1">
        <f t="shared" ref="Q4:Q7" si="0">E4-D4</f>
        <v>2.4305555555555525E-2</v>
      </c>
      <c r="R4" s="1">
        <f t="shared" ref="R4:R7" si="1">F4-E4</f>
        <v>1.736111111111116E-2</v>
      </c>
      <c r="S4" s="1">
        <f t="shared" ref="S4:S7" si="2">G4-F4</f>
        <v>0.21180555555555552</v>
      </c>
      <c r="T4" s="1">
        <f>+Tabla5[[#This Row],[ALMUERZO]]-Tabla5[[#This Row],[TERMINO ACT. AM]]</f>
        <v>6.9444444444444198E-3</v>
      </c>
      <c r="U4" s="1">
        <f>+Tabla5[[#This Row],[INICIO ACTIVIDADES PM]]-Tabla5[[#This Row],[ALMUERZO]]</f>
        <v>2.430555555555558E-2</v>
      </c>
      <c r="V4" s="1">
        <f>+Tabla5[[#This Row],[TERMINO ACTIVIDADES PM]]-Tabla5[[#This Row],[INICIO ACTIVIDADES PM]]</f>
        <v>3.8194444444444198E-2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 x14ac:dyDescent="0.25">
      <c r="A5" s="8" t="s">
        <v>49</v>
      </c>
      <c r="B5" s="8" t="s">
        <v>27</v>
      </c>
      <c r="C5" s="2">
        <v>44951</v>
      </c>
      <c r="D5" s="29">
        <v>0.34027777777777773</v>
      </c>
      <c r="E5" s="29">
        <v>0.36458333333333331</v>
      </c>
      <c r="F5" s="29">
        <v>0.37708333333333338</v>
      </c>
      <c r="G5" s="29">
        <v>0.61111111111111105</v>
      </c>
      <c r="H5" s="29">
        <v>0.61805555555555558</v>
      </c>
      <c r="I5" s="29">
        <v>0.64930555555555558</v>
      </c>
      <c r="J5" s="27">
        <v>0.65972222222222199</v>
      </c>
      <c r="K5" s="37"/>
      <c r="M5" s="3"/>
      <c r="N5" s="3" t="s">
        <v>16</v>
      </c>
      <c r="O5" s="2">
        <f>Tabla5[[#This Row],[FECHA]]</f>
        <v>44951</v>
      </c>
      <c r="P5" s="1">
        <f>D5</f>
        <v>0.34027777777777773</v>
      </c>
      <c r="Q5" s="1">
        <f t="shared" si="0"/>
        <v>2.430555555555558E-2</v>
      </c>
      <c r="R5" s="1">
        <f t="shared" si="1"/>
        <v>1.2500000000000067E-2</v>
      </c>
      <c r="S5" s="1">
        <f t="shared" si="2"/>
        <v>0.23402777777777767</v>
      </c>
      <c r="T5" s="1">
        <f>+Tabla5[[#This Row],[ALMUERZO]]-Tabla5[[#This Row],[TERMINO ACT. AM]]</f>
        <v>6.9444444444445308E-3</v>
      </c>
      <c r="U5" s="1">
        <f>+Tabla5[[#This Row],[INICIO ACTIVIDADES PM]]-Tabla5[[#This Row],[ALMUERZO]]</f>
        <v>3.125E-2</v>
      </c>
      <c r="V5" s="1">
        <f>+Tabla5[[#This Row],[TERMINO ACTIVIDADES PM]]-Tabla5[[#This Row],[INICIO ACTIVIDADES PM]]</f>
        <v>1.0416666666666408E-2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 x14ac:dyDescent="0.25">
      <c r="A6" s="8" t="s">
        <v>49</v>
      </c>
      <c r="B6" s="8" t="s">
        <v>28</v>
      </c>
      <c r="C6" s="2">
        <v>44952</v>
      </c>
      <c r="D6" s="29">
        <v>0.33680555555555558</v>
      </c>
      <c r="E6" s="29">
        <v>0.36458333333333331</v>
      </c>
      <c r="F6" s="29">
        <v>0.37847222222222227</v>
      </c>
      <c r="G6" s="29">
        <v>0.61111111111111105</v>
      </c>
      <c r="H6" s="29">
        <v>0.61805555555555558</v>
      </c>
      <c r="I6" s="29">
        <v>0.64930555555555558</v>
      </c>
      <c r="J6" s="27">
        <v>0.65972222222222199</v>
      </c>
      <c r="K6" s="37"/>
      <c r="M6" s="3"/>
      <c r="N6" s="3" t="s">
        <v>17</v>
      </c>
      <c r="O6" s="2">
        <f>Tabla5[[#This Row],[FECHA]]</f>
        <v>44952</v>
      </c>
      <c r="P6" s="1">
        <f>D6</f>
        <v>0.33680555555555558</v>
      </c>
      <c r="Q6" s="1">
        <f t="shared" si="0"/>
        <v>2.7777777777777735E-2</v>
      </c>
      <c r="R6" s="1">
        <f t="shared" si="1"/>
        <v>1.3888888888888951E-2</v>
      </c>
      <c r="S6" s="1">
        <f t="shared" si="2"/>
        <v>0.23263888888888878</v>
      </c>
      <c r="T6" s="1">
        <f>+Tabla5[[#This Row],[ALMUERZO]]-Tabla5[[#This Row],[TERMINO ACT. AM]]</f>
        <v>6.9444444444445308E-3</v>
      </c>
      <c r="U6" s="1">
        <f>+Tabla5[[#This Row],[INICIO ACTIVIDADES PM]]-Tabla5[[#This Row],[ALMUERZO]]</f>
        <v>3.125E-2</v>
      </c>
      <c r="V6" s="1">
        <f>+Tabla5[[#This Row],[TERMINO ACTIVIDADES PM]]-Tabla5[[#This Row],[INICIO ACTIVIDADES PM]]</f>
        <v>1.0416666666666408E-2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 x14ac:dyDescent="0.25">
      <c r="A7" s="8" t="s">
        <v>49</v>
      </c>
      <c r="B7" s="8" t="s">
        <v>38</v>
      </c>
      <c r="C7" s="2">
        <v>44953</v>
      </c>
      <c r="D7" s="29">
        <v>0.33680555555555558</v>
      </c>
      <c r="E7" s="29">
        <v>0.3611111111111111</v>
      </c>
      <c r="F7" s="29">
        <v>0.38194444444444442</v>
      </c>
      <c r="G7" s="29">
        <v>0.60972222222222217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18</v>
      </c>
      <c r="O7" s="2">
        <f>Tabla5[[#This Row],[FECHA]]</f>
        <v>44953</v>
      </c>
      <c r="P7" s="1">
        <f>D7</f>
        <v>0.33680555555555558</v>
      </c>
      <c r="Q7" s="1">
        <f t="shared" si="0"/>
        <v>2.4305555555555525E-2</v>
      </c>
      <c r="R7" s="1">
        <f t="shared" si="1"/>
        <v>2.0833333333333315E-2</v>
      </c>
      <c r="S7" s="1">
        <f t="shared" si="2"/>
        <v>0.22777777777777775</v>
      </c>
      <c r="T7" s="1">
        <f>+Tabla5[[#This Row],[ALMUERZO]]-Tabla5[[#This Row],[TERMINO ACT. AM]]</f>
        <v>1.1805555555555625E-2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 x14ac:dyDescent="0.25">
      <c r="A8" s="8"/>
      <c r="B8" s="8"/>
      <c r="C8" s="2">
        <v>44954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">
        <v>44955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0.23958333333333304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0.24999999999999972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0.24444444444444408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0.24305555555555519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0.24166666666666659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0.24374999999999974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0.97499999999999898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58" t="s">
        <v>105</v>
      </c>
      <c r="I29" s="159" t="s">
        <v>103</v>
      </c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0"/>
      <c r="T31" s="1"/>
    </row>
    <row r="32" spans="1:20" ht="15.6" customHeight="1" x14ac:dyDescent="0.25">
      <c r="H32" s="158"/>
      <c r="I32" s="161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7" sqref="I7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ht="24.75" x14ac:dyDescent="0.25">
      <c r="A3" s="8" t="s">
        <v>99</v>
      </c>
      <c r="B3" s="8" t="s">
        <v>37</v>
      </c>
      <c r="C3" s="2">
        <f>+Tabla5[[#This Row],[FECHA]]</f>
        <v>44949</v>
      </c>
      <c r="D3" s="29">
        <v>0.64583333333333337</v>
      </c>
      <c r="E3" s="29">
        <v>0.66666666666666663</v>
      </c>
      <c r="F3" s="29">
        <v>0.69444444444444453</v>
      </c>
      <c r="G3" s="29">
        <v>0.82986111111111116</v>
      </c>
      <c r="H3" s="29">
        <v>0.83680555555555547</v>
      </c>
      <c r="I3" s="29">
        <v>0.86458333333333337</v>
      </c>
      <c r="J3" s="27">
        <v>0.98611111111111116</v>
      </c>
      <c r="K3" s="37" t="s">
        <v>91</v>
      </c>
      <c r="L3" s="38"/>
      <c r="M3" s="38"/>
      <c r="N3" s="39" t="s">
        <v>15</v>
      </c>
      <c r="O3" s="2">
        <v>44410</v>
      </c>
      <c r="P3" s="1">
        <f>D3</f>
        <v>0.64583333333333337</v>
      </c>
      <c r="Q3" s="1">
        <f t="shared" ref="Q3:S7" si="0">E3-D3</f>
        <v>2.0833333333333259E-2</v>
      </c>
      <c r="R3" s="1">
        <f t="shared" si="0"/>
        <v>2.7777777777777901E-2</v>
      </c>
      <c r="S3" s="1">
        <f t="shared" si="0"/>
        <v>0.13541666666666663</v>
      </c>
      <c r="T3" s="1">
        <f>+Tabla538394041[[#This Row],[ALMUERZO]]-Tabla538394041[[#This Row],[TERMINO ACT. AM]]</f>
        <v>6.9444444444443088E-3</v>
      </c>
      <c r="U3" s="1">
        <f>+Tabla538394041[[#This Row],[INICIO ACTIVIDADES PM]]-Tabla538394041[[#This Row],[ALMUERZO]]</f>
        <v>2.7777777777777901E-2</v>
      </c>
      <c r="V3" s="1">
        <f>+Tabla538394041[[#This Row],[TERMINO ACTIVIDADES PM]]-Tabla538394041[[#This Row],[INICIO ACTIVIDADES PM]]</f>
        <v>0.12152777777777779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ht="24.75" x14ac:dyDescent="0.25">
      <c r="A4" s="8" t="s">
        <v>99</v>
      </c>
      <c r="B4" s="8" t="s">
        <v>26</v>
      </c>
      <c r="C4" s="2">
        <f>+Tabla5[[#This Row],[FECHA]]</f>
        <v>44950</v>
      </c>
      <c r="D4" s="29">
        <v>0.64583333333333337</v>
      </c>
      <c r="E4" s="29">
        <v>0.66666666666666663</v>
      </c>
      <c r="F4" s="29">
        <v>0.67986111111111114</v>
      </c>
      <c r="G4" s="29">
        <v>0.80902777777777779</v>
      </c>
      <c r="H4" s="29">
        <v>0.81944444444444453</v>
      </c>
      <c r="I4" s="29">
        <v>0.85069444444444453</v>
      </c>
      <c r="J4" s="27">
        <v>0.98958333333333337</v>
      </c>
      <c r="K4" s="37" t="s">
        <v>91</v>
      </c>
      <c r="M4" s="3"/>
      <c r="N4" s="3" t="s">
        <v>16</v>
      </c>
      <c r="O4" s="2">
        <v>44411</v>
      </c>
      <c r="P4" s="1">
        <f>D4</f>
        <v>0.64583333333333337</v>
      </c>
      <c r="Q4" s="1">
        <f t="shared" si="0"/>
        <v>2.0833333333333259E-2</v>
      </c>
      <c r="R4" s="1">
        <f t="shared" si="0"/>
        <v>1.3194444444444509E-2</v>
      </c>
      <c r="S4" s="1">
        <f t="shared" si="0"/>
        <v>0.12916666666666665</v>
      </c>
      <c r="T4" s="1">
        <f>+Tabla538394041[[#This Row],[ALMUERZO]]-Tabla538394041[[#This Row],[TERMINO ACT. AM]]</f>
        <v>1.0416666666666741E-2</v>
      </c>
      <c r="U4" s="1">
        <f>+Tabla538394041[[#This Row],[INICIO ACTIVIDADES PM]]-Tabla538394041[[#This Row],[ALMUERZO]]</f>
        <v>3.125E-2</v>
      </c>
      <c r="V4" s="1">
        <f>+Tabla538394041[[#This Row],[TERMINO ACTIVIDADES PM]]-Tabla538394041[[#This Row],[INICIO ACTIVIDADES PM]]</f>
        <v>0.13888888888888884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ht="24.75" x14ac:dyDescent="0.25">
      <c r="A5" s="8" t="s">
        <v>99</v>
      </c>
      <c r="B5" s="8" t="s">
        <v>27</v>
      </c>
      <c r="C5" s="2">
        <f>+Tabla5[[#This Row],[FECHA]]</f>
        <v>44951</v>
      </c>
      <c r="D5" s="29">
        <v>0.64583333333333337</v>
      </c>
      <c r="E5" s="29">
        <v>0.66666666666666663</v>
      </c>
      <c r="F5" s="29">
        <v>0.72569444444444453</v>
      </c>
      <c r="G5" s="29">
        <v>0.85069444444444453</v>
      </c>
      <c r="H5" s="29">
        <v>0.85763888888888884</v>
      </c>
      <c r="I5" s="29">
        <v>0.88194444444444453</v>
      </c>
      <c r="J5" s="27">
        <v>0.98125000000000007</v>
      </c>
      <c r="K5" s="37" t="s">
        <v>91</v>
      </c>
      <c r="M5" s="3"/>
      <c r="N5" s="3" t="s">
        <v>16</v>
      </c>
      <c r="O5" s="2">
        <v>44412</v>
      </c>
      <c r="P5" s="1">
        <f>D5</f>
        <v>0.64583333333333337</v>
      </c>
      <c r="Q5" s="1">
        <f t="shared" si="0"/>
        <v>2.0833333333333259E-2</v>
      </c>
      <c r="R5" s="1">
        <f t="shared" si="0"/>
        <v>5.9027777777777901E-2</v>
      </c>
      <c r="S5" s="1">
        <f t="shared" si="0"/>
        <v>0.125</v>
      </c>
      <c r="T5" s="1">
        <f>+Tabla538394041[[#This Row],[ALMUERZO]]-Tabla538394041[[#This Row],[TERMINO ACT. AM]]</f>
        <v>6.9444444444443088E-3</v>
      </c>
      <c r="U5" s="1">
        <f>+Tabla538394041[[#This Row],[INICIO ACTIVIDADES PM]]-Tabla538394041[[#This Row],[ALMUERZO]]</f>
        <v>2.4305555555555691E-2</v>
      </c>
      <c r="V5" s="1">
        <f>+Tabla538394041[[#This Row],[TERMINO ACTIVIDADES PM]]-Tabla538394041[[#This Row],[INICIO ACTIVIDADES PM]]</f>
        <v>9.9305555555555536E-2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ht="24.75" x14ac:dyDescent="0.25">
      <c r="A6" s="8" t="s">
        <v>99</v>
      </c>
      <c r="B6" s="8" t="s">
        <v>28</v>
      </c>
      <c r="C6" s="2">
        <f>+Tabla5[[#This Row],[FECHA]]</f>
        <v>44952</v>
      </c>
      <c r="D6" s="29">
        <v>0.64583333333333337</v>
      </c>
      <c r="E6" s="29">
        <v>0.66666666666666663</v>
      </c>
      <c r="F6" s="29">
        <v>0.69166666666666676</v>
      </c>
      <c r="G6" s="29">
        <v>0.82986111111111116</v>
      </c>
      <c r="H6" s="29">
        <v>0.83680555555555547</v>
      </c>
      <c r="I6" s="29">
        <v>0.86805555555555547</v>
      </c>
      <c r="J6" s="27">
        <v>0.98611111111111116</v>
      </c>
      <c r="K6" s="37" t="s">
        <v>91</v>
      </c>
      <c r="M6" s="3"/>
      <c r="N6" s="3" t="s">
        <v>17</v>
      </c>
      <c r="O6" s="2">
        <v>44413</v>
      </c>
      <c r="P6" s="1">
        <f>D6</f>
        <v>0.64583333333333337</v>
      </c>
      <c r="Q6" s="1">
        <f t="shared" si="0"/>
        <v>2.0833333333333259E-2</v>
      </c>
      <c r="R6" s="1">
        <f t="shared" si="0"/>
        <v>2.5000000000000133E-2</v>
      </c>
      <c r="S6" s="1">
        <f t="shared" si="0"/>
        <v>0.1381944444444444</v>
      </c>
      <c r="T6" s="1">
        <f>+Tabla538394041[[#This Row],[ALMUERZO]]-Tabla538394041[[#This Row],[TERMINO ACT. AM]]</f>
        <v>6.9444444444443088E-3</v>
      </c>
      <c r="U6" s="1">
        <f>+Tabla538394041[[#This Row],[INICIO ACTIVIDADES PM]]-Tabla538394041[[#This Row],[ALMUERZO]]</f>
        <v>3.125E-2</v>
      </c>
      <c r="V6" s="1">
        <f>+Tabla538394041[[#This Row],[TERMINO ACTIVIDADES PM]]-Tabla538394041[[#This Row],[INICIO ACTIVIDADES PM]]</f>
        <v>0.11805555555555569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ht="24.75" x14ac:dyDescent="0.25">
      <c r="A7" s="8" t="s">
        <v>99</v>
      </c>
      <c r="B7" s="8" t="s">
        <v>38</v>
      </c>
      <c r="C7" s="2">
        <f>+Tabla5[[#This Row],[FECHA]]</f>
        <v>44953</v>
      </c>
      <c r="D7" s="29">
        <v>0.64583333333333337</v>
      </c>
      <c r="E7" s="29">
        <v>0.66666666666666663</v>
      </c>
      <c r="F7" s="29">
        <v>0.69374999999999998</v>
      </c>
      <c r="G7" s="29">
        <v>0.83680555555555547</v>
      </c>
      <c r="H7" s="29">
        <v>0.84722222222222221</v>
      </c>
      <c r="I7" s="29">
        <v>0.88541666666666663</v>
      </c>
      <c r="J7" s="27">
        <v>0.98472222222222217</v>
      </c>
      <c r="K7" s="37" t="s">
        <v>91</v>
      </c>
      <c r="M7" s="3"/>
      <c r="N7" s="3" t="s">
        <v>18</v>
      </c>
      <c r="O7" s="2">
        <v>44414</v>
      </c>
      <c r="P7" s="1">
        <f>D7</f>
        <v>0.64583333333333337</v>
      </c>
      <c r="Q7" s="1">
        <f t="shared" si="0"/>
        <v>2.0833333333333259E-2</v>
      </c>
      <c r="R7" s="1">
        <f t="shared" si="0"/>
        <v>2.7083333333333348E-2</v>
      </c>
      <c r="S7" s="1">
        <f t="shared" si="0"/>
        <v>0.14305555555555549</v>
      </c>
      <c r="T7" s="1">
        <f>+Tabla538394041[[#This Row],[ALMUERZO]]-Tabla538394041[[#This Row],[TERMINO ACT. AM]]</f>
        <v>1.0416666666666741E-2</v>
      </c>
      <c r="U7" s="1">
        <f>+Tabla538394041[[#This Row],[INICIO ACTIVIDADES PM]]-Tabla538394041[[#This Row],[ALMUERZO]]</f>
        <v>3.819444444444442E-2</v>
      </c>
      <c r="V7" s="1">
        <f>+Tabla538394041[[#This Row],[TERMINO ACTIVIDADES PM]]-Tabla538394041[[#This Row],[INICIO ACTIVIDADES PM]]</f>
        <v>9.9305555555555536E-2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2"/>
      <c r="E8" s="2"/>
      <c r="F8" s="2"/>
      <c r="G8" s="2"/>
      <c r="H8" s="2"/>
      <c r="I8" s="2"/>
      <c r="J8" s="2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84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0.25694444444444442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0.26805555555555549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0.22430555555555554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0.25625000000000009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0.24236111111111103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 0")</f>
        <v>0.24958333333333332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0.99833333333333329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I28" s="158" t="s">
        <v>105</v>
      </c>
      <c r="J28" s="159" t="s">
        <v>103</v>
      </c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0"/>
      <c r="T30" s="1"/>
    </row>
    <row r="31" spans="1:20" ht="15.6" customHeight="1" x14ac:dyDescent="0.25">
      <c r="I31" s="158"/>
      <c r="J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G8" sqref="G8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44949</v>
      </c>
      <c r="D3" s="29">
        <v>0.3125</v>
      </c>
      <c r="E3" s="29">
        <v>0.33819444444444446</v>
      </c>
      <c r="F3" s="29">
        <v>0.3520833333333333</v>
      </c>
      <c r="G3" s="27">
        <v>0.52777777777777779</v>
      </c>
      <c r="H3" s="29">
        <v>0.54166666666666663</v>
      </c>
      <c r="I3" s="29">
        <v>0.57291666666666663</v>
      </c>
      <c r="J3" s="27">
        <v>0.65277777777777801</v>
      </c>
      <c r="K3" s="37"/>
      <c r="L3" s="38"/>
      <c r="M3" s="38"/>
      <c r="N3" s="39" t="s">
        <v>15</v>
      </c>
      <c r="O3" s="2">
        <f>Tabla53839404142[[#This Row],[FECHA]]</f>
        <v>44949</v>
      </c>
      <c r="P3" s="1">
        <f>D3</f>
        <v>0.3125</v>
      </c>
      <c r="Q3" s="1">
        <f t="shared" ref="Q3:S7" si="0">E3-D3</f>
        <v>2.5694444444444464E-2</v>
      </c>
      <c r="R3" s="1">
        <f t="shared" si="0"/>
        <v>1.388888888888884E-2</v>
      </c>
      <c r="S3" s="1">
        <f t="shared" si="0"/>
        <v>0.17569444444444449</v>
      </c>
      <c r="T3" s="1">
        <f>+Tabla53839404142[[#This Row],[ALMUERZO]]-Tabla53839404142[[#This Row],[TERMINO ACT. AM]]</f>
        <v>1.388888888888884E-2</v>
      </c>
      <c r="U3" s="1">
        <f>+Tabla53839404142[[#This Row],[INICIO ACTIVIDADES PM]]-Tabla53839404142[[#This Row],[ALMUERZO]]</f>
        <v>3.125E-2</v>
      </c>
      <c r="V3" s="1">
        <f>+Tabla53839404142[[#This Row],[TERMINO ACTIVIDADES PM]]-Tabla53839404142[[#This Row],[INICIO ACTIVIDADES PM]]</f>
        <v>7.9861111111111382E-2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44950</v>
      </c>
      <c r="D4" s="29">
        <v>0.3125</v>
      </c>
      <c r="E4" s="29">
        <v>0.33333333333333331</v>
      </c>
      <c r="F4" s="29">
        <v>0.35416666666666669</v>
      </c>
      <c r="G4" s="27">
        <v>0.53472222222222221</v>
      </c>
      <c r="H4" s="29">
        <v>0.54166666666666663</v>
      </c>
      <c r="I4" s="29">
        <v>0.56944444444444442</v>
      </c>
      <c r="J4" s="27">
        <v>0.65277777777777779</v>
      </c>
      <c r="K4" s="37"/>
      <c r="M4" s="3"/>
      <c r="N4" s="3" t="s">
        <v>16</v>
      </c>
      <c r="O4" s="2">
        <f>Tabla53839404142[[#This Row],[FECHA]]</f>
        <v>44950</v>
      </c>
      <c r="P4" s="1">
        <f>D4</f>
        <v>0.3125</v>
      </c>
      <c r="Q4" s="1">
        <f t="shared" si="0"/>
        <v>2.0833333333333315E-2</v>
      </c>
      <c r="R4" s="1">
        <f t="shared" si="0"/>
        <v>2.083333333333337E-2</v>
      </c>
      <c r="S4" s="1">
        <f t="shared" si="0"/>
        <v>0.18055555555555552</v>
      </c>
      <c r="T4" s="1">
        <f>+Tabla53839404142[[#This Row],[ALMUERZO]]-Tabla53839404142[[#This Row],[TERMINO ACT. AM]]</f>
        <v>6.9444444444444198E-3</v>
      </c>
      <c r="U4" s="1">
        <f>+Tabla53839404142[[#This Row],[INICIO ACTIVIDADES PM]]-Tabla53839404142[[#This Row],[ALMUERZO]]</f>
        <v>2.777777777777779E-2</v>
      </c>
      <c r="V4" s="1">
        <f>+Tabla53839404142[[#This Row],[TERMINO ACTIVIDADES PM]]-Tabla53839404142[[#This Row],[INICIO ACTIVIDADES PM]]</f>
        <v>8.333333333333337E-2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44951</v>
      </c>
      <c r="D5" s="29">
        <v>0.3125</v>
      </c>
      <c r="E5" s="29">
        <v>0.33680555555555558</v>
      </c>
      <c r="F5" s="29">
        <v>0.3576388888888889</v>
      </c>
      <c r="G5" s="27">
        <v>0.51041666666666663</v>
      </c>
      <c r="H5" s="29">
        <v>0.52083333333333337</v>
      </c>
      <c r="I5" s="29">
        <v>0.55208333333333337</v>
      </c>
      <c r="J5" s="27">
        <v>0.65277777777777801</v>
      </c>
      <c r="K5" s="37"/>
      <c r="M5" s="3"/>
      <c r="N5" s="3" t="s">
        <v>16</v>
      </c>
      <c r="O5" s="2">
        <f>Tabla53839404142[[#This Row],[FECHA]]</f>
        <v>44951</v>
      </c>
      <c r="P5" s="1">
        <f>D5</f>
        <v>0.3125</v>
      </c>
      <c r="Q5" s="1">
        <f t="shared" si="0"/>
        <v>2.430555555555558E-2</v>
      </c>
      <c r="R5" s="1">
        <f t="shared" si="0"/>
        <v>2.0833333333333315E-2</v>
      </c>
      <c r="S5" s="1">
        <f t="shared" si="0"/>
        <v>0.15277777777777773</v>
      </c>
      <c r="T5" s="1">
        <f>+Tabla53839404142[[#This Row],[ALMUERZO]]-Tabla53839404142[[#This Row],[TERMINO ACT. AM]]</f>
        <v>1.0416666666666741E-2</v>
      </c>
      <c r="U5" s="1">
        <f>+Tabla53839404142[[#This Row],[INICIO ACTIVIDADES PM]]-Tabla53839404142[[#This Row],[ALMUERZO]]</f>
        <v>3.125E-2</v>
      </c>
      <c r="V5" s="1">
        <f>+Tabla53839404142[[#This Row],[TERMINO ACTIVIDADES PM]]-Tabla53839404142[[#This Row],[INICIO ACTIVIDADES PM]]</f>
        <v>0.10069444444444464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44952</v>
      </c>
      <c r="D6" s="29">
        <v>0.3125</v>
      </c>
      <c r="E6" s="29">
        <v>0.33333333333333331</v>
      </c>
      <c r="F6" s="29">
        <v>0.35416666666666669</v>
      </c>
      <c r="G6" s="29">
        <v>0.52777777777777779</v>
      </c>
      <c r="H6" s="29">
        <v>0.54166666666666663</v>
      </c>
      <c r="I6" s="29">
        <v>0.57291666666666663</v>
      </c>
      <c r="J6" s="27">
        <v>0.65277777777777801</v>
      </c>
      <c r="K6" s="37"/>
      <c r="M6" s="3"/>
      <c r="N6" s="3" t="s">
        <v>17</v>
      </c>
      <c r="O6" s="2">
        <f>Tabla53839404142[[#This Row],[FECHA]]</f>
        <v>44952</v>
      </c>
      <c r="P6" s="1">
        <f>D6</f>
        <v>0.3125</v>
      </c>
      <c r="Q6" s="1">
        <f t="shared" si="0"/>
        <v>2.0833333333333315E-2</v>
      </c>
      <c r="R6" s="1">
        <f t="shared" si="0"/>
        <v>2.083333333333337E-2</v>
      </c>
      <c r="S6" s="1">
        <f t="shared" si="0"/>
        <v>0.1736111111111111</v>
      </c>
      <c r="T6" s="1">
        <f>+Tabla53839404142[[#This Row],[ALMUERZO]]-Tabla53839404142[[#This Row],[TERMINO ACT. AM]]</f>
        <v>1.388888888888884E-2</v>
      </c>
      <c r="U6" s="1">
        <f>+Tabla53839404142[[#This Row],[INICIO ACTIVIDADES PM]]-Tabla53839404142[[#This Row],[ALMUERZO]]</f>
        <v>3.125E-2</v>
      </c>
      <c r="V6" s="1">
        <f>+Tabla53839404142[[#This Row],[TERMINO ACTIVIDADES PM]]-Tabla53839404142[[#This Row],[INICIO ACTIVIDADES PM]]</f>
        <v>7.9861111111111382E-2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44953</v>
      </c>
      <c r="D7" s="29">
        <v>0.3125</v>
      </c>
      <c r="E7" s="29">
        <v>0.33333333333333331</v>
      </c>
      <c r="F7" s="29">
        <v>0.35069444444444442</v>
      </c>
      <c r="G7" s="27">
        <v>0.53125</v>
      </c>
      <c r="H7" s="29">
        <v>0.54166666666666663</v>
      </c>
      <c r="I7" s="29">
        <v>0.5708333333333333</v>
      </c>
      <c r="J7" s="27">
        <v>0.65277777777777801</v>
      </c>
      <c r="K7" s="37"/>
      <c r="M7" s="3"/>
      <c r="N7" s="3" t="s">
        <v>18</v>
      </c>
      <c r="O7" s="2">
        <f>Tabla53839404142[[#This Row],[FECHA]]</f>
        <v>44953</v>
      </c>
      <c r="P7" s="1">
        <f>D7</f>
        <v>0.3125</v>
      </c>
      <c r="Q7" s="1">
        <f t="shared" si="0"/>
        <v>2.0833333333333315E-2</v>
      </c>
      <c r="R7" s="1">
        <f t="shared" si="0"/>
        <v>1.7361111111111105E-2</v>
      </c>
      <c r="S7" s="1">
        <f t="shared" si="0"/>
        <v>0.18055555555555558</v>
      </c>
      <c r="T7" s="1">
        <f>+Tabla53839404142[[#This Row],[ALMUERZO]]-Tabla53839404142[[#This Row],[TERMINO ACT. AM]]</f>
        <v>1.041666666666663E-2</v>
      </c>
      <c r="U7" s="1">
        <f>+Tabla53839404142[[#This Row],[INICIO ACTIVIDADES PM]]-Tabla53839404142[[#This Row],[ALMUERZO]]</f>
        <v>2.9166666666666674E-2</v>
      </c>
      <c r="V7" s="1">
        <f>+Tabla53839404142[[#This Row],[TERMINO ACTIVIDADES PM]]-Tabla53839404142[[#This Row],[INICIO ACTIVIDADES PM]]</f>
        <v>8.1944444444444708E-2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5" thickBot="1" x14ac:dyDescent="0.3">
      <c r="A13" s="8"/>
      <c r="B13" s="8"/>
      <c r="C13" s="8"/>
      <c r="D13" s="29"/>
      <c r="E13" s="29"/>
      <c r="F13" s="29"/>
      <c r="G13" s="29"/>
      <c r="H13" s="29"/>
      <c r="I13" s="29"/>
      <c r="J13" s="27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85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0.25555555555555587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0.2638888888888889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0.25347222222222238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0.25347222222222249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0.26250000000000029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0.25777777777777799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1.031111111111112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104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100</v>
      </c>
      <c r="B3" s="8" t="s">
        <v>37</v>
      </c>
      <c r="C3" s="2">
        <f>+Tabla5[[#This Row],[FECHA]]</f>
        <v>44949</v>
      </c>
      <c r="D3" s="29">
        <v>0.3125</v>
      </c>
      <c r="E3" s="29">
        <v>0.31944444444444448</v>
      </c>
      <c r="F3" s="29">
        <v>0.34513888888888888</v>
      </c>
      <c r="G3" s="29">
        <v>0.51041666666666663</v>
      </c>
      <c r="H3" s="29">
        <v>0.51388888888888895</v>
      </c>
      <c r="I3" s="29">
        <v>0.53472222222222221</v>
      </c>
      <c r="J3" s="27">
        <v>0.65972222222222199</v>
      </c>
      <c r="K3" s="37"/>
      <c r="L3" s="38"/>
      <c r="M3" s="38"/>
      <c r="N3" s="39" t="s">
        <v>15</v>
      </c>
      <c r="O3" s="2">
        <f>Tabla5383940414243[[#This Row],[FECHA]]</f>
        <v>44949</v>
      </c>
      <c r="P3" s="1">
        <f>D3</f>
        <v>0.3125</v>
      </c>
      <c r="Q3" s="1">
        <f>E3-D3</f>
        <v>6.9444444444444753E-3</v>
      </c>
      <c r="R3" s="1">
        <f>F3-E3</f>
        <v>2.5694444444444409E-2</v>
      </c>
      <c r="S3" s="1">
        <f>G3-F3</f>
        <v>0.16527777777777775</v>
      </c>
      <c r="T3" s="1">
        <f>+Tabla5383940414243[[#This Row],[ALMUERZO]]-Tabla5383940414243[[#This Row],[TERMINO ACT. AM]]</f>
        <v>3.4722222222223209E-3</v>
      </c>
      <c r="U3" s="1">
        <f>+Tabla5383940414243[[#This Row],[INICIO ACTIVIDADES PM]]-Tabla5383940414243[[#This Row],[ALMUERZO]]</f>
        <v>2.0833333333333259E-2</v>
      </c>
      <c r="V3" s="1">
        <f>+Tabla5383940414243[[#This Row],[TERMINO ACTIVIDADES PM]]-Tabla5383940414243[[#This Row],[INICIO ACTIVIDADES PM]]</f>
        <v>0.12499999999999978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100</v>
      </c>
      <c r="B4" s="8" t="s">
        <v>26</v>
      </c>
      <c r="C4" s="2">
        <f>+Tabla5[[#This Row],[FECHA]]</f>
        <v>44950</v>
      </c>
      <c r="D4" s="29">
        <v>0.31597222222222221</v>
      </c>
      <c r="E4" s="29">
        <v>0.32291666666666669</v>
      </c>
      <c r="F4" s="29">
        <v>0.34375</v>
      </c>
      <c r="G4" s="29">
        <v>0.50347222222222221</v>
      </c>
      <c r="H4" s="29">
        <v>0.50694444444444442</v>
      </c>
      <c r="I4" s="29">
        <v>0.52777777777777779</v>
      </c>
      <c r="J4" s="27">
        <v>0.65972222222222221</v>
      </c>
      <c r="K4" s="37"/>
      <c r="M4" s="3"/>
      <c r="N4" s="3" t="s">
        <v>16</v>
      </c>
      <c r="O4" s="2">
        <f>Tabla5383940414243[[#This Row],[FECHA]]</f>
        <v>44950</v>
      </c>
      <c r="P4" s="1">
        <f>D4</f>
        <v>0.31597222222222221</v>
      </c>
      <c r="Q4" s="1">
        <f t="shared" ref="Q4:S7" si="0">E4-D4</f>
        <v>6.9444444444444753E-3</v>
      </c>
      <c r="R4" s="1">
        <f t="shared" si="0"/>
        <v>2.0833333333333315E-2</v>
      </c>
      <c r="S4" s="1">
        <f t="shared" si="0"/>
        <v>0.15972222222222221</v>
      </c>
      <c r="T4" s="1">
        <f>+Tabla5383940414243[[#This Row],[ALMUERZO]]-Tabla5383940414243[[#This Row],[TERMINO ACT. AM]]</f>
        <v>3.4722222222222099E-3</v>
      </c>
      <c r="U4" s="1">
        <f>+Tabla5383940414243[[#This Row],[INICIO ACTIVIDADES PM]]-Tabla5383940414243[[#This Row],[ALMUERZO]]</f>
        <v>2.083333333333337E-2</v>
      </c>
      <c r="V4" s="1">
        <f>+Tabla5383940414243[[#This Row],[TERMINO ACTIVIDADES PM]]-Tabla5383940414243[[#This Row],[INICIO ACTIVIDADES PM]]</f>
        <v>0.13194444444444442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100</v>
      </c>
      <c r="B5" s="8" t="s">
        <v>27</v>
      </c>
      <c r="C5" s="2">
        <f>+Tabla5[[#This Row],[FECHA]]</f>
        <v>44951</v>
      </c>
      <c r="D5" s="29">
        <v>0.3125</v>
      </c>
      <c r="E5" s="29">
        <v>0.3263888888888889</v>
      </c>
      <c r="F5" s="29">
        <v>0.34375</v>
      </c>
      <c r="G5" s="29">
        <v>0.52430555555555558</v>
      </c>
      <c r="H5" s="29">
        <v>0.52777777777777779</v>
      </c>
      <c r="I5" s="29">
        <v>0.55208333333333337</v>
      </c>
      <c r="J5" s="27">
        <v>0.65972222222222199</v>
      </c>
      <c r="K5" s="37"/>
      <c r="M5" s="3"/>
      <c r="N5" s="3" t="s">
        <v>16</v>
      </c>
      <c r="O5" s="2">
        <f>Tabla5383940414243[[#This Row],[FECHA]]</f>
        <v>44951</v>
      </c>
      <c r="P5" s="1">
        <f>D5</f>
        <v>0.3125</v>
      </c>
      <c r="Q5" s="1">
        <f t="shared" si="0"/>
        <v>1.3888888888888895E-2</v>
      </c>
      <c r="R5" s="1">
        <f t="shared" si="0"/>
        <v>1.7361111111111105E-2</v>
      </c>
      <c r="S5" s="1">
        <f t="shared" si="0"/>
        <v>0.18055555555555558</v>
      </c>
      <c r="T5" s="1">
        <f>+Tabla5383940414243[[#This Row],[ALMUERZO]]-Tabla5383940414243[[#This Row],[TERMINO ACT. AM]]</f>
        <v>3.4722222222222099E-3</v>
      </c>
      <c r="U5" s="1">
        <f>+Tabla5383940414243[[#This Row],[INICIO ACTIVIDADES PM]]-Tabla5383940414243[[#This Row],[ALMUERZO]]</f>
        <v>2.430555555555558E-2</v>
      </c>
      <c r="V5" s="1">
        <f>+Tabla5383940414243[[#This Row],[TERMINO ACTIVIDADES PM]]-Tabla5383940414243[[#This Row],[INICIO ACTIVIDADES PM]]</f>
        <v>0.10763888888888862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100</v>
      </c>
      <c r="B6" s="8" t="s">
        <v>28</v>
      </c>
      <c r="C6" s="2">
        <f>+Tabla5[[#This Row],[FECHA]]</f>
        <v>44952</v>
      </c>
      <c r="D6" s="29">
        <v>0.3125</v>
      </c>
      <c r="E6" s="29">
        <v>0.31944444444444448</v>
      </c>
      <c r="F6" s="29">
        <v>0.34375</v>
      </c>
      <c r="G6" s="29">
        <v>0.50347222222222221</v>
      </c>
      <c r="H6" s="29">
        <v>0.50694444444444442</v>
      </c>
      <c r="I6" s="29">
        <v>0.53125</v>
      </c>
      <c r="J6" s="27">
        <v>0.65972222222222199</v>
      </c>
      <c r="K6" s="37"/>
      <c r="M6" s="3"/>
      <c r="N6" s="3" t="s">
        <v>17</v>
      </c>
      <c r="O6" s="2">
        <f>Tabla5383940414243[[#This Row],[FECHA]]</f>
        <v>44952</v>
      </c>
      <c r="P6" s="1">
        <f>D6</f>
        <v>0.3125</v>
      </c>
      <c r="Q6" s="1">
        <f t="shared" si="0"/>
        <v>6.9444444444444753E-3</v>
      </c>
      <c r="R6" s="1">
        <f t="shared" si="0"/>
        <v>2.4305555555555525E-2</v>
      </c>
      <c r="S6" s="1">
        <f t="shared" si="0"/>
        <v>0.15972222222222221</v>
      </c>
      <c r="T6" s="1">
        <f>+Tabla5383940414243[[#This Row],[ALMUERZO]]-Tabla5383940414243[[#This Row],[TERMINO ACT. AM]]</f>
        <v>3.4722222222222099E-3</v>
      </c>
      <c r="U6" s="1">
        <f>+Tabla5383940414243[[#This Row],[INICIO ACTIVIDADES PM]]-Tabla5383940414243[[#This Row],[ALMUERZO]]</f>
        <v>2.430555555555558E-2</v>
      </c>
      <c r="V6" s="1">
        <f>+Tabla5383940414243[[#This Row],[TERMINO ACTIVIDADES PM]]-Tabla5383940414243[[#This Row],[INICIO ACTIVIDADES PM]]</f>
        <v>0.12847222222222199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100</v>
      </c>
      <c r="B7" s="8" t="s">
        <v>38</v>
      </c>
      <c r="C7" s="2">
        <f>+Tabla5[[#This Row],[FECHA]]</f>
        <v>44953</v>
      </c>
      <c r="D7" s="29">
        <v>0.30555555555555552</v>
      </c>
      <c r="E7" s="29">
        <v>0.31597222222222221</v>
      </c>
      <c r="F7" s="29">
        <v>0.34027777777777773</v>
      </c>
      <c r="G7" s="29">
        <v>0.50347222222222221</v>
      </c>
      <c r="H7" s="29">
        <v>0.50694444444444442</v>
      </c>
      <c r="I7" s="29">
        <v>0.53125</v>
      </c>
      <c r="J7" s="27">
        <v>0.65972222222222199</v>
      </c>
      <c r="K7" s="37"/>
      <c r="M7" s="3"/>
      <c r="N7" s="3" t="s">
        <v>18</v>
      </c>
      <c r="O7" s="2">
        <f>Tabla5383940414243[[#This Row],[FECHA]]</f>
        <v>44953</v>
      </c>
      <c r="P7" s="1">
        <f>D7</f>
        <v>0.30555555555555552</v>
      </c>
      <c r="Q7" s="1">
        <f t="shared" si="0"/>
        <v>1.0416666666666685E-2</v>
      </c>
      <c r="R7" s="1">
        <f t="shared" si="0"/>
        <v>2.4305555555555525E-2</v>
      </c>
      <c r="S7" s="1">
        <f t="shared" si="0"/>
        <v>0.16319444444444448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2.430555555555558E-2</v>
      </c>
      <c r="V7" s="1">
        <f>+Tabla5383940414243[[#This Row],[TERMINO ACTIVIDADES PM]]-Tabla5383940414243[[#This Row],[INICIO ACTIVIDADES PM]]</f>
        <v>0.12847222222222199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86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0.29027777777777752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0.29166666666666663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0.2881944444444442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0.2881944444444442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0.29166666666666646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0.28999999999999981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0.99428571428571355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87</v>
      </c>
      <c r="B3" s="8" t="s">
        <v>37</v>
      </c>
      <c r="C3" s="2">
        <f>+Tabla5[[#This Row],[FECHA]]</f>
        <v>44949</v>
      </c>
      <c r="D3" s="29">
        <v>0.34166666666666662</v>
      </c>
      <c r="E3" s="29">
        <v>0.36458333333333331</v>
      </c>
      <c r="F3" s="29">
        <v>0.37152777777777773</v>
      </c>
      <c r="G3" s="27">
        <v>0.60416666666666663</v>
      </c>
      <c r="H3" s="29">
        <v>0.61458333333333337</v>
      </c>
      <c r="I3" s="27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Tabla538394041424344[[#This Row],[FECHA]]</f>
        <v>44949</v>
      </c>
      <c r="P3" s="1">
        <f>D3</f>
        <v>0.34166666666666662</v>
      </c>
      <c r="Q3" s="1">
        <f>E3-D3</f>
        <v>2.2916666666666696E-2</v>
      </c>
      <c r="R3" s="1">
        <f>F3-E3</f>
        <v>6.9444444444444198E-3</v>
      </c>
      <c r="S3" s="1">
        <f>G3-F3</f>
        <v>0.2326388888888889</v>
      </c>
      <c r="T3" s="1">
        <f>+Tabla538394041424344[[#This Row],[ALMUERZO]]-Tabla538394041424344[[#This Row],[TERMINO ACT. AM]]</f>
        <v>1.0416666666666741E-2</v>
      </c>
      <c r="U3" s="1">
        <f>+Tabla538394041424344[[#This Row],[INICIO ACTIVIDADES PM]]-Tabla538394041424344[[#This Row],[ALMUERZO]]</f>
        <v>2.430555555555558E-2</v>
      </c>
      <c r="V3" s="1">
        <f>+Tabla538394041424344[[#This Row],[TERMINO ACTIVIDADES PM]]-Tabla538394041424344[[#This Row],[INICIO ACTIVIDADES PM]]</f>
        <v>2.0833333333333259E-2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 x14ac:dyDescent="0.25">
      <c r="A4" s="8" t="s">
        <v>87</v>
      </c>
      <c r="B4" s="8" t="s">
        <v>26</v>
      </c>
      <c r="C4" s="2">
        <f>+Tabla5[[#This Row],[FECHA]]</f>
        <v>44950</v>
      </c>
      <c r="D4" s="29">
        <v>0.34027777777777773</v>
      </c>
      <c r="E4" s="29">
        <v>0.37152777777777773</v>
      </c>
      <c r="F4" s="29">
        <v>0.37847222222222227</v>
      </c>
      <c r="G4" s="27">
        <v>0.60763888888888895</v>
      </c>
      <c r="H4" s="27">
        <v>0.61805555555555558</v>
      </c>
      <c r="I4" s="27">
        <v>0.64236111111111105</v>
      </c>
      <c r="J4" s="27">
        <v>0.65972222222222221</v>
      </c>
      <c r="K4" s="37"/>
      <c r="M4" s="3"/>
      <c r="N4" s="3" t="s">
        <v>16</v>
      </c>
      <c r="O4" s="2">
        <f>Tabla538394041424344[[#This Row],[FECHA]]</f>
        <v>44950</v>
      </c>
      <c r="P4" s="1">
        <f>D4</f>
        <v>0.34027777777777773</v>
      </c>
      <c r="Q4" s="1">
        <f t="shared" ref="Q4:S7" si="0">E4-D4</f>
        <v>3.125E-2</v>
      </c>
      <c r="R4" s="1">
        <f t="shared" si="0"/>
        <v>6.9444444444445308E-3</v>
      </c>
      <c r="S4" s="1">
        <f t="shared" si="0"/>
        <v>0.22916666666666669</v>
      </c>
      <c r="T4" s="1">
        <f>+Tabla538394041424344[[#This Row],[ALMUERZO]]-Tabla538394041424344[[#This Row],[TERMINO ACT. AM]]</f>
        <v>1.041666666666663E-2</v>
      </c>
      <c r="U4" s="1">
        <f>+Tabla538394041424344[[#This Row],[INICIO ACTIVIDADES PM]]-Tabla538394041424344[[#This Row],[ALMUERZO]]</f>
        <v>2.4305555555555469E-2</v>
      </c>
      <c r="V4" s="1">
        <f>+Tabla538394041424344[[#This Row],[TERMINO ACTIVIDADES PM]]-Tabla538394041424344[[#This Row],[INICIO ACTIVIDADES PM]]</f>
        <v>1.736111111111116E-2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 x14ac:dyDescent="0.25">
      <c r="A5" s="8" t="s">
        <v>87</v>
      </c>
      <c r="B5" s="8" t="s">
        <v>27</v>
      </c>
      <c r="C5" s="2">
        <f>+Tabla5[[#This Row],[FECHA]]</f>
        <v>44951</v>
      </c>
      <c r="D5" s="29">
        <v>0.33888888888888885</v>
      </c>
      <c r="E5" s="29">
        <v>0.36458333333333331</v>
      </c>
      <c r="F5" s="29">
        <v>0.38194444444444442</v>
      </c>
      <c r="G5" s="27">
        <v>0.61111111111111105</v>
      </c>
      <c r="H5" s="27">
        <v>0.62152777777777779</v>
      </c>
      <c r="I5" s="27">
        <v>0.64583333333333337</v>
      </c>
      <c r="J5" s="27">
        <v>0.65972222222222221</v>
      </c>
      <c r="K5" s="37"/>
      <c r="M5" s="3"/>
      <c r="N5" s="3" t="s">
        <v>16</v>
      </c>
      <c r="O5" s="2">
        <f>Tabla538394041424344[[#This Row],[FECHA]]</f>
        <v>44951</v>
      </c>
      <c r="P5" s="1">
        <f>D5</f>
        <v>0.33888888888888885</v>
      </c>
      <c r="Q5" s="1">
        <f t="shared" si="0"/>
        <v>2.5694444444444464E-2</v>
      </c>
      <c r="R5" s="1">
        <f t="shared" si="0"/>
        <v>1.7361111111111105E-2</v>
      </c>
      <c r="S5" s="1">
        <f t="shared" si="0"/>
        <v>0.22916666666666663</v>
      </c>
      <c r="T5" s="1">
        <f>+Tabla538394041424344[[#This Row],[ALMUERZO]]-Tabla538394041424344[[#This Row],[TERMINO ACT. AM]]</f>
        <v>1.0416666666666741E-2</v>
      </c>
      <c r="U5" s="1">
        <f>+Tabla538394041424344[[#This Row],[INICIO ACTIVIDADES PM]]-Tabla538394041424344[[#This Row],[ALMUERZO]]</f>
        <v>2.430555555555558E-2</v>
      </c>
      <c r="V5" s="1">
        <f>+Tabla538394041424344[[#This Row],[TERMINO ACTIVIDADES PM]]-Tabla538394041424344[[#This Row],[INICIO ACTIVIDADES PM]]</f>
        <v>1.388888888888884E-2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 x14ac:dyDescent="0.25">
      <c r="A6" s="8" t="s">
        <v>87</v>
      </c>
      <c r="B6" s="8" t="s">
        <v>28</v>
      </c>
      <c r="C6" s="2">
        <f>+Tabla5[[#This Row],[FECHA]]</f>
        <v>44952</v>
      </c>
      <c r="D6" s="29">
        <v>0.34027777777777773</v>
      </c>
      <c r="E6" s="29">
        <v>0.36458333333333331</v>
      </c>
      <c r="F6" s="29">
        <v>0.37847222222222227</v>
      </c>
      <c r="G6" s="27">
        <v>0.61111111111111105</v>
      </c>
      <c r="H6" s="29">
        <v>0.61458333333333337</v>
      </c>
      <c r="I6" s="27">
        <v>0.63888888888888895</v>
      </c>
      <c r="J6" s="27">
        <v>0.65972222222222221</v>
      </c>
      <c r="K6" s="37"/>
      <c r="M6" s="3"/>
      <c r="N6" s="3" t="s">
        <v>17</v>
      </c>
      <c r="O6" s="2">
        <f>Tabla538394041424344[[#This Row],[FECHA]]</f>
        <v>44952</v>
      </c>
      <c r="P6" s="1">
        <f>D6</f>
        <v>0.34027777777777773</v>
      </c>
      <c r="Q6" s="1">
        <f t="shared" si="0"/>
        <v>2.430555555555558E-2</v>
      </c>
      <c r="R6" s="1">
        <f t="shared" si="0"/>
        <v>1.3888888888888951E-2</v>
      </c>
      <c r="S6" s="1">
        <f t="shared" si="0"/>
        <v>0.23263888888888878</v>
      </c>
      <c r="T6" s="1">
        <f>+Tabla538394041424344[[#This Row],[ALMUERZO]]-Tabla538394041424344[[#This Row],[TERMINO ACT. AM]]</f>
        <v>3.4722222222223209E-3</v>
      </c>
      <c r="U6" s="1">
        <f>+Tabla538394041424344[[#This Row],[INICIO ACTIVIDADES PM]]-Tabla538394041424344[[#This Row],[ALMUERZO]]</f>
        <v>2.430555555555558E-2</v>
      </c>
      <c r="V6" s="1">
        <f>+Tabla538394041424344[[#This Row],[TERMINO ACTIVIDADES PM]]-Tabla538394041424344[[#This Row],[INICIO ACTIVIDADES PM]]</f>
        <v>2.0833333333333259E-2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 x14ac:dyDescent="0.25">
      <c r="A7" s="8" t="s">
        <v>87</v>
      </c>
      <c r="B7" s="8" t="s">
        <v>38</v>
      </c>
      <c r="C7" s="2">
        <f>+Tabla5[[#This Row],[FECHA]]</f>
        <v>44953</v>
      </c>
      <c r="D7" s="29">
        <v>0.34375</v>
      </c>
      <c r="E7" s="29">
        <v>0.36805555555555558</v>
      </c>
      <c r="F7" s="29">
        <v>0.38125000000000003</v>
      </c>
      <c r="G7" s="27">
        <v>0.60763888888888895</v>
      </c>
      <c r="H7" s="27">
        <v>0.61111111111111105</v>
      </c>
      <c r="I7" s="27">
        <v>0.63541666666666663</v>
      </c>
      <c r="J7" s="27">
        <v>0.65972222222222221</v>
      </c>
      <c r="K7" s="37"/>
      <c r="M7" s="3"/>
      <c r="N7" s="3" t="s">
        <v>18</v>
      </c>
      <c r="O7" s="2">
        <f>Tabla538394041424344[[#This Row],[FECHA]]</f>
        <v>44953</v>
      </c>
      <c r="P7" s="1">
        <f>D7</f>
        <v>0.34375</v>
      </c>
      <c r="Q7" s="1">
        <f t="shared" si="0"/>
        <v>2.430555555555558E-2</v>
      </c>
      <c r="R7" s="1">
        <f t="shared" si="0"/>
        <v>1.3194444444444453E-2</v>
      </c>
      <c r="S7" s="1">
        <f t="shared" si="0"/>
        <v>0.22638888888888892</v>
      </c>
      <c r="T7" s="1">
        <f>+Tabla538394041424344[[#This Row],[ALMUERZO]]-Tabla538394041424344[[#This Row],[TERMINO ACT. AM]]</f>
        <v>3.4722222222220989E-3</v>
      </c>
      <c r="U7" s="1">
        <f>+Tabla538394041424344[[#This Row],[INICIO ACTIVIDADES PM]]-Tabla538394041424344[[#This Row],[ALMUERZO]]</f>
        <v>2.430555555555558E-2</v>
      </c>
      <c r="V7" s="1">
        <f>+Tabla538394041424344[[#This Row],[TERMINO ACTIVIDADES PM]]-Tabla538394041424344[[#This Row],[INICIO ACTIVIDADES PM]]</f>
        <v>2.430555555555558E-2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87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0.25347222222222215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0.24652777777777785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0.24305555555555547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0.25347222222222204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0.2506944444444445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0.24944444444444441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0.99777777777777765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11:20" ht="15.6" customHeight="1" x14ac:dyDescent="0.25">
      <c r="T33" s="1"/>
    </row>
    <row r="34" spans="11:20" x14ac:dyDescent="0.25">
      <c r="K34" s="65"/>
      <c r="T34" s="1"/>
    </row>
    <row r="35" spans="11:20" x14ac:dyDescent="0.25">
      <c r="T35" s="1"/>
    </row>
    <row r="36" spans="11:20" x14ac:dyDescent="0.25">
      <c r="T36" s="1"/>
    </row>
    <row r="37" spans="11:20" x14ac:dyDescent="0.25">
      <c r="T37" s="1"/>
    </row>
    <row r="38" spans="11:20" x14ac:dyDescent="0.25">
      <c r="T38" s="1"/>
    </row>
    <row r="39" spans="11:20" x14ac:dyDescent="0.25">
      <c r="T39" s="1"/>
    </row>
    <row r="40" spans="11:20" x14ac:dyDescent="0.25">
      <c r="T40" s="1"/>
    </row>
    <row r="41" spans="11:20" x14ac:dyDescent="0.25">
      <c r="T41" s="1"/>
    </row>
    <row r="42" spans="11:20" x14ac:dyDescent="0.25">
      <c r="T42" s="1"/>
    </row>
    <row r="43" spans="11:20" x14ac:dyDescent="0.25">
      <c r="T43" s="1"/>
    </row>
    <row r="44" spans="11:20" x14ac:dyDescent="0.25">
      <c r="T44" s="1"/>
    </row>
    <row r="45" spans="11:20" x14ac:dyDescent="0.25">
      <c r="T45" s="1"/>
    </row>
    <row r="46" spans="11:20" x14ac:dyDescent="0.25">
      <c r="T46" s="1"/>
    </row>
    <row r="47" spans="11:20" x14ac:dyDescent="0.25">
      <c r="T47" s="1"/>
    </row>
    <row r="48" spans="11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E4" sqref="E4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44949</v>
      </c>
      <c r="D3" s="29">
        <v>0.30902777777777779</v>
      </c>
      <c r="E3" s="29">
        <v>0.32291666666666669</v>
      </c>
      <c r="F3" s="29">
        <v>0.34513888888888888</v>
      </c>
      <c r="G3" s="29">
        <v>0.58680555555555558</v>
      </c>
      <c r="H3" s="29">
        <v>0.59375</v>
      </c>
      <c r="I3" s="29">
        <v>0.62152777777777779</v>
      </c>
      <c r="J3" s="27">
        <v>0.65277777777777801</v>
      </c>
      <c r="K3" s="37"/>
      <c r="L3" s="38"/>
      <c r="M3" s="38"/>
      <c r="N3" s="39" t="s">
        <v>15</v>
      </c>
      <c r="O3" s="2">
        <f>Tabla5383940414243444546[[#This Row],[FECHA]]</f>
        <v>44949</v>
      </c>
      <c r="P3" s="1">
        <f>D3</f>
        <v>0.30902777777777779</v>
      </c>
      <c r="Q3" s="1">
        <f>E3-D3</f>
        <v>1.3888888888888895E-2</v>
      </c>
      <c r="R3" s="1">
        <f>F3-E3</f>
        <v>2.2222222222222199E-2</v>
      </c>
      <c r="S3" s="1">
        <f>G3-F3</f>
        <v>0.2416666666666667</v>
      </c>
      <c r="T3" s="1">
        <f>+Tabla5383940414243444546[[#This Row],[ALMUERZO]]-Tabla5383940414243444546[[#This Row],[TERMINO ACT. AM]]</f>
        <v>6.9444444444444198E-3</v>
      </c>
      <c r="U3" s="1">
        <f>+Tabla5383940414243444546[[#This Row],[INICIO ACTIVIDADES PM]]-Tabla5383940414243444546[[#This Row],[ALMUERZO]]</f>
        <v>2.777777777777779E-2</v>
      </c>
      <c r="V3" s="1">
        <f>+Tabla5383940414243444546[[#This Row],[TERMINO ACTIVIDADES PM]]-Tabla5383940414243444546[[#This Row],[INICIO ACTIVIDADES PM]]</f>
        <v>3.1250000000000222E-2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44950</v>
      </c>
      <c r="D4" s="29">
        <v>0.31388888888888888</v>
      </c>
      <c r="E4" s="29">
        <v>0.3263888888888889</v>
      </c>
      <c r="F4" s="29">
        <v>0.35069444444444442</v>
      </c>
      <c r="G4" s="29">
        <v>0.58680555555555558</v>
      </c>
      <c r="H4" s="29">
        <v>0.59861111111111109</v>
      </c>
      <c r="I4" s="29">
        <v>0.625</v>
      </c>
      <c r="J4" s="27">
        <v>0.65277777777777779</v>
      </c>
      <c r="K4" s="37"/>
      <c r="M4" s="3"/>
      <c r="N4" s="3" t="s">
        <v>16</v>
      </c>
      <c r="O4" s="2">
        <f>Tabla5383940414243444546[[#This Row],[FECHA]]</f>
        <v>44950</v>
      </c>
      <c r="P4" s="1">
        <f>D4</f>
        <v>0.31388888888888888</v>
      </c>
      <c r="Q4" s="1">
        <f t="shared" ref="Q4:S7" si="0">E4-D4</f>
        <v>1.2500000000000011E-2</v>
      </c>
      <c r="R4" s="1">
        <f t="shared" si="0"/>
        <v>2.4305555555555525E-2</v>
      </c>
      <c r="S4" s="1">
        <f t="shared" si="0"/>
        <v>0.23611111111111116</v>
      </c>
      <c r="T4" s="1">
        <f>+Tabla5383940414243444546[[#This Row],[ALMUERZO]]-Tabla5383940414243444546[[#This Row],[TERMINO ACT. AM]]</f>
        <v>1.1805555555555514E-2</v>
      </c>
      <c r="U4" s="1">
        <f>+Tabla5383940414243444546[[#This Row],[INICIO ACTIVIDADES PM]]-Tabla5383940414243444546[[#This Row],[ALMUERZO]]</f>
        <v>2.6388888888888906E-2</v>
      </c>
      <c r="V4" s="1">
        <f>+Tabla5383940414243444546[[#This Row],[TERMINO ACTIVIDADES PM]]-Tabla5383940414243444546[[#This Row],[INICIO ACTIVIDADES PM]]</f>
        <v>2.777777777777779E-2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44951</v>
      </c>
      <c r="D5" s="29">
        <v>0.3125</v>
      </c>
      <c r="E5" s="29">
        <v>0.32291666666666669</v>
      </c>
      <c r="F5" s="29">
        <v>0.35069444444444442</v>
      </c>
      <c r="G5" s="29">
        <v>0.50138888888888888</v>
      </c>
      <c r="H5" s="29">
        <v>0.50972222222222219</v>
      </c>
      <c r="I5" s="29">
        <v>0.54166666666666663</v>
      </c>
      <c r="J5" s="27">
        <v>0.65277777777777801</v>
      </c>
      <c r="K5" s="37"/>
      <c r="M5" s="3"/>
      <c r="N5" s="3" t="s">
        <v>16</v>
      </c>
      <c r="O5" s="2">
        <f>Tabla5383940414243444546[[#This Row],[FECHA]]</f>
        <v>44951</v>
      </c>
      <c r="P5" s="1">
        <f>D5</f>
        <v>0.3125</v>
      </c>
      <c r="Q5" s="1">
        <f t="shared" si="0"/>
        <v>1.0416666666666685E-2</v>
      </c>
      <c r="R5" s="1">
        <f t="shared" si="0"/>
        <v>2.7777777777777735E-2</v>
      </c>
      <c r="S5" s="1">
        <f t="shared" si="0"/>
        <v>0.15069444444444446</v>
      </c>
      <c r="T5" s="1">
        <f>+Tabla5383940414243444546[[#This Row],[ALMUERZO]]-Tabla5383940414243444546[[#This Row],[TERMINO ACT. AM]]</f>
        <v>8.3333333333333037E-3</v>
      </c>
      <c r="U5" s="1">
        <f>+Tabla5383940414243444546[[#This Row],[INICIO ACTIVIDADES PM]]-Tabla5383940414243444546[[#This Row],[ALMUERZO]]</f>
        <v>3.1944444444444442E-2</v>
      </c>
      <c r="V5" s="1">
        <f>+Tabla5383940414243444546[[#This Row],[TERMINO ACTIVIDADES PM]]-Tabla5383940414243444546[[#This Row],[INICIO ACTIVIDADES PM]]</f>
        <v>0.11111111111111138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44952</v>
      </c>
      <c r="D6" s="29">
        <v>0.30902777777777779</v>
      </c>
      <c r="E6" s="29">
        <v>0.31944444444444448</v>
      </c>
      <c r="F6" s="29">
        <v>0.34375</v>
      </c>
      <c r="G6" s="29">
        <v>0.50208333333333333</v>
      </c>
      <c r="H6" s="29">
        <v>0.51250000000000007</v>
      </c>
      <c r="I6" s="29">
        <v>0.54166666666666663</v>
      </c>
      <c r="J6" s="27">
        <v>0.65277777777777801</v>
      </c>
      <c r="K6" s="37"/>
      <c r="M6" s="3"/>
      <c r="N6" s="3" t="s">
        <v>17</v>
      </c>
      <c r="O6" s="2">
        <f>Tabla5383940414243444546[[#This Row],[FECHA]]</f>
        <v>44952</v>
      </c>
      <c r="P6" s="1">
        <f>D6</f>
        <v>0.30902777777777779</v>
      </c>
      <c r="Q6" s="1">
        <f t="shared" si="0"/>
        <v>1.0416666666666685E-2</v>
      </c>
      <c r="R6" s="1">
        <f t="shared" si="0"/>
        <v>2.4305555555555525E-2</v>
      </c>
      <c r="S6" s="1">
        <f t="shared" si="0"/>
        <v>0.15833333333333333</v>
      </c>
      <c r="T6" s="1">
        <f>+Tabla5383940414243444546[[#This Row],[ALMUERZO]]-Tabla5383940414243444546[[#This Row],[TERMINO ACT. AM]]</f>
        <v>1.0416666666666741E-2</v>
      </c>
      <c r="U6" s="1">
        <f>+Tabla5383940414243444546[[#This Row],[INICIO ACTIVIDADES PM]]-Tabla5383940414243444546[[#This Row],[ALMUERZO]]</f>
        <v>2.9166666666666563E-2</v>
      </c>
      <c r="V6" s="1">
        <f>+Tabla5383940414243444546[[#This Row],[TERMINO ACTIVIDADES PM]]-Tabla5383940414243444546[[#This Row],[INICIO ACTIVIDADES PM]]</f>
        <v>0.11111111111111138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44953</v>
      </c>
      <c r="D7" s="29">
        <v>0.31180555555555556</v>
      </c>
      <c r="E7" s="29">
        <v>0.3298611111111111</v>
      </c>
      <c r="F7" s="29">
        <v>0.35416666666666669</v>
      </c>
      <c r="G7" s="29">
        <v>0.52083333333333337</v>
      </c>
      <c r="H7" s="29">
        <v>0.52986111111111112</v>
      </c>
      <c r="I7" s="29">
        <v>0.56805555555555554</v>
      </c>
      <c r="J7" s="27">
        <v>0.65277777777777801</v>
      </c>
      <c r="K7" s="37"/>
      <c r="M7" s="3"/>
      <c r="N7" s="3" t="s">
        <v>18</v>
      </c>
      <c r="O7" s="2">
        <f>Tabla5383940414243444546[[#This Row],[FECHA]]</f>
        <v>44953</v>
      </c>
      <c r="P7" s="1">
        <f>D7</f>
        <v>0.31180555555555556</v>
      </c>
      <c r="Q7" s="1">
        <f t="shared" si="0"/>
        <v>1.8055555555555547E-2</v>
      </c>
      <c r="R7" s="1">
        <f t="shared" si="0"/>
        <v>2.430555555555558E-2</v>
      </c>
      <c r="S7" s="1">
        <f t="shared" si="0"/>
        <v>0.16666666666666669</v>
      </c>
      <c r="T7" s="1">
        <f>+Tabla5383940414243444546[[#This Row],[ALMUERZO]]-Tabla5383940414243444546[[#This Row],[TERMINO ACT. AM]]</f>
        <v>9.0277777777777457E-3</v>
      </c>
      <c r="U7" s="1">
        <f>+Tabla5383940414243444546[[#This Row],[INICIO ACTIVIDADES PM]]-Tabla5383940414243444546[[#This Row],[ALMUERZO]]</f>
        <v>3.819444444444442E-2</v>
      </c>
      <c r="V7" s="1">
        <f>+Tabla5383940414243444546[[#This Row],[TERMINO ACTIVIDADES PM]]-Tabla5383940414243444546[[#This Row],[INICIO ACTIVIDADES PM]]</f>
        <v>8.4722222222222476E-2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88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0.27291666666666692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0.26388888888888895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0.26180555555555585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0.26944444444444471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0.25138888888888916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0.26388888888888912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1.0555555555555565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53" t="s">
        <v>65</v>
      </c>
      <c r="C2" s="54">
        <f>+'TTE 7'!G21</f>
        <v>0.24944444444444441</v>
      </c>
      <c r="D2" s="52">
        <f t="shared" ref="D2:D9" si="0">+C2/$C$17</f>
        <v>0.99777777777777765</v>
      </c>
      <c r="F2" s="60"/>
    </row>
    <row r="3" spans="2:16" x14ac:dyDescent="0.25">
      <c r="B3" s="55" t="s">
        <v>56</v>
      </c>
      <c r="C3" s="56">
        <f>+'SUB 6'!G21</f>
        <v>0.24847222222222265</v>
      </c>
      <c r="D3" s="52">
        <f t="shared" si="0"/>
        <v>0.9938888888888906</v>
      </c>
      <c r="F3" s="60"/>
    </row>
    <row r="4" spans="2:16" x14ac:dyDescent="0.25">
      <c r="B4" s="55" t="s">
        <v>55</v>
      </c>
      <c r="C4" s="56">
        <f>+'SUB 5'!G21</f>
        <v>0.24611111111111103</v>
      </c>
      <c r="D4" s="52">
        <f t="shared" si="0"/>
        <v>0.98444444444444412</v>
      </c>
      <c r="F4" s="60"/>
    </row>
    <row r="5" spans="2:16" x14ac:dyDescent="0.25">
      <c r="B5" s="55" t="s">
        <v>54</v>
      </c>
      <c r="C5" s="56">
        <f>+'TTE 6 '!G21</f>
        <v>0.24374999999999974</v>
      </c>
      <c r="D5" s="52">
        <f t="shared" si="0"/>
        <v>0.97499999999999898</v>
      </c>
      <c r="F5" s="60"/>
    </row>
    <row r="6" spans="2:16" x14ac:dyDescent="0.25">
      <c r="B6" s="55" t="s">
        <v>58</v>
      </c>
      <c r="C6" s="56">
        <f>+DIABLO!G21</f>
        <v>0.25402777777777769</v>
      </c>
      <c r="D6" s="52">
        <f t="shared" si="0"/>
        <v>1.0161111111111107</v>
      </c>
      <c r="F6" s="60"/>
    </row>
    <row r="7" spans="2:16" x14ac:dyDescent="0.25">
      <c r="B7" s="55" t="s">
        <v>57</v>
      </c>
      <c r="C7" s="56">
        <f>+'PIPA N'!G21</f>
        <v>0.25152777777777768</v>
      </c>
      <c r="D7" s="52">
        <f t="shared" si="0"/>
        <v>1.0061111111111107</v>
      </c>
      <c r="F7" s="60"/>
    </row>
    <row r="8" spans="2:16" x14ac:dyDescent="0.25">
      <c r="B8" s="55" t="s">
        <v>66</v>
      </c>
      <c r="C8" s="56">
        <f>+'CH colon'!G21</f>
        <v>0.26388888888888912</v>
      </c>
      <c r="D8" s="52">
        <f t="shared" si="0"/>
        <v>1.0555555555555565</v>
      </c>
      <c r="F8" s="60"/>
    </row>
    <row r="9" spans="2:16" x14ac:dyDescent="0.25">
      <c r="B9" s="55" t="s">
        <v>92</v>
      </c>
      <c r="C9" s="56">
        <f>+Salvataje!G21</f>
        <v>0.24986111111111092</v>
      </c>
      <c r="D9" s="52">
        <f t="shared" si="0"/>
        <v>0.99944444444444369</v>
      </c>
      <c r="F9" s="60"/>
    </row>
    <row r="10" spans="2:16" x14ac:dyDescent="0.25">
      <c r="B10" s="55" t="s">
        <v>64</v>
      </c>
      <c r="C10" s="56">
        <f>+'LA JUNTA'!G21</f>
        <v>0.28999999999999981</v>
      </c>
      <c r="D10" s="52">
        <f>+C10/$C$19</f>
        <v>0.99428571428571355</v>
      </c>
      <c r="F10" s="60"/>
    </row>
    <row r="11" spans="2:16" x14ac:dyDescent="0.25">
      <c r="B11" s="55" t="s">
        <v>62</v>
      </c>
      <c r="C11" s="56">
        <f>+AC!G21</f>
        <v>0.24958333333333332</v>
      </c>
      <c r="D11" s="52">
        <f>+C11/$C$17</f>
        <v>0.99833333333333329</v>
      </c>
      <c r="F11" s="60"/>
      <c r="P11" s="61"/>
    </row>
    <row r="12" spans="2:16" x14ac:dyDescent="0.25">
      <c r="B12" s="55" t="s">
        <v>63</v>
      </c>
      <c r="C12" s="56">
        <f>+Colec!G21</f>
        <v>0.25777777777777799</v>
      </c>
      <c r="D12" s="52">
        <f>+C12/$C$17</f>
        <v>1.031111111111112</v>
      </c>
      <c r="F12" s="60"/>
    </row>
    <row r="13" spans="2:16" x14ac:dyDescent="0.25">
      <c r="B13" s="55" t="s">
        <v>61</v>
      </c>
      <c r="C13" s="56">
        <f>+'P M'!G21</f>
        <v>0.25069444444444444</v>
      </c>
      <c r="D13" s="52">
        <f>+C13/$C$17</f>
        <v>1.0027777777777778</v>
      </c>
      <c r="F13" s="60"/>
    </row>
    <row r="14" spans="2:16" x14ac:dyDescent="0.25">
      <c r="B14" s="55" t="s">
        <v>60</v>
      </c>
      <c r="C14" s="56">
        <f>+'Vent '!G21</f>
        <v>0.25763888888888897</v>
      </c>
      <c r="D14" s="52">
        <f>+C14/$C$17</f>
        <v>1.0305555555555559</v>
      </c>
      <c r="F14" s="60"/>
    </row>
    <row r="15" spans="2:16" x14ac:dyDescent="0.25">
      <c r="B15" s="55" t="s">
        <v>59</v>
      </c>
      <c r="C15" s="56">
        <f>+ACCU!G21</f>
        <v>0.44138888888888872</v>
      </c>
      <c r="D15" s="52">
        <f>+C15/$C$18</f>
        <v>1.0419672131147537</v>
      </c>
      <c r="F15" s="60"/>
    </row>
    <row r="16" spans="2:16" x14ac:dyDescent="0.25">
      <c r="B16" s="55" t="s">
        <v>51</v>
      </c>
      <c r="C16" s="56">
        <f>AVERAGE(C2:C15)</f>
        <v>0.2681547619047619</v>
      </c>
    </row>
    <row r="17" spans="2:4" x14ac:dyDescent="0.25">
      <c r="B17" s="55" t="s">
        <v>52</v>
      </c>
      <c r="C17" s="56">
        <v>0.25</v>
      </c>
      <c r="D17" s="41">
        <f>+AVERAGE(D2:D16)</f>
        <v>1.0090974313222556</v>
      </c>
    </row>
    <row r="18" spans="2:4" x14ac:dyDescent="0.25">
      <c r="B18" s="55" t="s">
        <v>75</v>
      </c>
      <c r="C18" s="56">
        <v>0.4236111111111111</v>
      </c>
    </row>
    <row r="19" spans="2:4" ht="16.5" thickBot="1" x14ac:dyDescent="0.3">
      <c r="B19" s="57" t="s">
        <v>76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L19" sqref="L19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5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7.25" thickTop="1" thickBot="1" x14ac:dyDescent="0.3">
      <c r="A4" s="68" t="s">
        <v>106</v>
      </c>
      <c r="B4" s="174">
        <f>+'TTE 6 '!C3</f>
        <v>44949</v>
      </c>
      <c r="C4" s="175"/>
      <c r="D4" s="175"/>
      <c r="E4" s="165">
        <f>+'TTE 6 '!C4</f>
        <v>44950</v>
      </c>
      <c r="F4" s="166"/>
      <c r="G4" s="166"/>
      <c r="H4" s="176">
        <f>+'TTE 6 '!C5</f>
        <v>44951</v>
      </c>
      <c r="I4" s="177"/>
      <c r="J4" s="178"/>
      <c r="K4" s="165">
        <f>+'TTE 6 '!C6</f>
        <v>44952</v>
      </c>
      <c r="L4" s="166"/>
      <c r="M4" s="166"/>
      <c r="N4" s="167">
        <f>+'TTE 6 '!C7</f>
        <v>44953</v>
      </c>
      <c r="O4" s="168"/>
      <c r="P4" s="169"/>
      <c r="Q4" s="165">
        <f>+'TTE 6 '!C8</f>
        <v>44954</v>
      </c>
      <c r="R4" s="166"/>
      <c r="S4" s="166"/>
      <c r="T4" s="167">
        <f>+'TTE 6 '!C9</f>
        <v>44955</v>
      </c>
      <c r="U4" s="168"/>
      <c r="V4" s="170"/>
      <c r="W4" s="171" t="s">
        <v>107</v>
      </c>
      <c r="X4" s="172"/>
      <c r="Y4" s="173"/>
    </row>
    <row r="5" spans="1:25" ht="16.5" thickBot="1" x14ac:dyDescent="0.3">
      <c r="A5" s="69"/>
      <c r="B5" s="125" t="s">
        <v>108</v>
      </c>
      <c r="C5" s="126" t="s">
        <v>103</v>
      </c>
      <c r="D5" s="127" t="s">
        <v>104</v>
      </c>
      <c r="E5" s="70" t="s">
        <v>108</v>
      </c>
      <c r="F5" s="71" t="s">
        <v>103</v>
      </c>
      <c r="G5" s="72" t="s">
        <v>104</v>
      </c>
      <c r="H5" s="125" t="s">
        <v>108</v>
      </c>
      <c r="I5" s="126" t="s">
        <v>103</v>
      </c>
      <c r="J5" s="127" t="s">
        <v>104</v>
      </c>
      <c r="K5" s="70" t="s">
        <v>108</v>
      </c>
      <c r="L5" s="71" t="s">
        <v>103</v>
      </c>
      <c r="M5" s="72" t="s">
        <v>104</v>
      </c>
      <c r="N5" s="70" t="s">
        <v>108</v>
      </c>
      <c r="O5" s="71" t="s">
        <v>103</v>
      </c>
      <c r="P5" s="72" t="s">
        <v>104</v>
      </c>
      <c r="Q5" s="70" t="s">
        <v>108</v>
      </c>
      <c r="R5" s="71" t="s">
        <v>103</v>
      </c>
      <c r="S5" s="72" t="s">
        <v>104</v>
      </c>
      <c r="T5" s="70" t="s">
        <v>108</v>
      </c>
      <c r="U5" s="71" t="s">
        <v>103</v>
      </c>
      <c r="V5" s="73" t="s">
        <v>104</v>
      </c>
      <c r="W5" s="74" t="s">
        <v>108</v>
      </c>
      <c r="X5" s="71" t="s">
        <v>103</v>
      </c>
      <c r="Y5" s="75" t="s">
        <v>104</v>
      </c>
    </row>
    <row r="6" spans="1:25" ht="16.5" thickBot="1" x14ac:dyDescent="0.3">
      <c r="A6" s="76" t="s">
        <v>109</v>
      </c>
      <c r="B6" s="162" t="s">
        <v>110</v>
      </c>
      <c r="C6" s="163"/>
      <c r="D6" s="164"/>
      <c r="E6" s="162" t="s">
        <v>110</v>
      </c>
      <c r="F6" s="163"/>
      <c r="G6" s="164"/>
      <c r="H6" s="162" t="s">
        <v>110</v>
      </c>
      <c r="I6" s="163"/>
      <c r="J6" s="164"/>
      <c r="K6" s="162" t="s">
        <v>110</v>
      </c>
      <c r="L6" s="163"/>
      <c r="M6" s="164"/>
      <c r="N6" s="162" t="s">
        <v>110</v>
      </c>
      <c r="O6" s="163"/>
      <c r="P6" s="164"/>
      <c r="Q6" s="162" t="s">
        <v>110</v>
      </c>
      <c r="R6" s="163"/>
      <c r="S6" s="164"/>
      <c r="T6" s="162" t="s">
        <v>110</v>
      </c>
      <c r="U6" s="163"/>
      <c r="V6" s="163"/>
      <c r="W6" s="179" t="s">
        <v>110</v>
      </c>
      <c r="X6" s="163"/>
      <c r="Y6" s="180"/>
    </row>
    <row r="7" spans="1:25" x14ac:dyDescent="0.25">
      <c r="A7" s="77" t="s">
        <v>111</v>
      </c>
      <c r="B7" s="98"/>
      <c r="C7" s="99"/>
      <c r="D7" s="99">
        <f>+'TTE 7'!D3</f>
        <v>0.34166666666666662</v>
      </c>
      <c r="E7" s="78"/>
      <c r="F7" s="124"/>
      <c r="G7" s="124">
        <f>+'TTE 7'!D4</f>
        <v>0.34027777777777773</v>
      </c>
      <c r="H7" s="98"/>
      <c r="I7" s="155"/>
      <c r="J7" s="155">
        <f>+'TTE 7'!D5</f>
        <v>0.33888888888888885</v>
      </c>
      <c r="K7" s="78"/>
      <c r="L7" s="124"/>
      <c r="M7" s="124">
        <f>+'TTE 7'!D6</f>
        <v>0.34027777777777773</v>
      </c>
      <c r="N7" s="78"/>
      <c r="O7" s="124"/>
      <c r="P7" s="124">
        <f>+'TTE 7'!D7</f>
        <v>0.34375</v>
      </c>
      <c r="Q7" s="78"/>
      <c r="R7" s="81"/>
      <c r="S7" s="82"/>
      <c r="T7" s="78"/>
      <c r="U7" s="81"/>
      <c r="V7" s="83"/>
      <c r="W7" s="84" t="str">
        <f t="shared" ref="W7:Y9" si="0">IFERROR(AVERAGE(B7,E7,H7,K7,N7,Q7,T7),"")</f>
        <v/>
      </c>
      <c r="X7" s="85" t="str">
        <f t="shared" si="0"/>
        <v/>
      </c>
      <c r="Y7" s="85">
        <f t="shared" si="0"/>
        <v>0.34097222222222218</v>
      </c>
    </row>
    <row r="8" spans="1:25" x14ac:dyDescent="0.25">
      <c r="A8" s="77" t="s">
        <v>112</v>
      </c>
      <c r="B8" s="98"/>
      <c r="C8" s="99"/>
      <c r="D8" s="99">
        <f>+'TTE 7'!J3</f>
        <v>0.65972222222222221</v>
      </c>
      <c r="E8" s="78"/>
      <c r="F8" s="79"/>
      <c r="G8" s="79">
        <f>+'TTE 7'!J4</f>
        <v>0.65972222222222221</v>
      </c>
      <c r="H8" s="98"/>
      <c r="I8" s="99"/>
      <c r="J8" s="99">
        <f>+'TTE 7'!J5</f>
        <v>0.65972222222222221</v>
      </c>
      <c r="K8" s="78"/>
      <c r="L8" s="79"/>
      <c r="M8" s="79">
        <f>+'TTE 7'!J6</f>
        <v>0.65972222222222221</v>
      </c>
      <c r="N8" s="78"/>
      <c r="O8" s="79"/>
      <c r="P8" s="79">
        <f>+'TTE 7'!J7</f>
        <v>0.65972222222222221</v>
      </c>
      <c r="Q8" s="78"/>
      <c r="R8" s="81"/>
      <c r="S8" s="82"/>
      <c r="T8" s="78"/>
      <c r="U8" s="81"/>
      <c r="V8" s="83"/>
      <c r="W8" s="87" t="str">
        <f t="shared" si="0"/>
        <v/>
      </c>
      <c r="X8" s="88" t="str">
        <f t="shared" si="0"/>
        <v/>
      </c>
      <c r="Y8" s="88">
        <f t="shared" si="0"/>
        <v>0.65972222222222221</v>
      </c>
    </row>
    <row r="9" spans="1:25" ht="16.5" thickBot="1" x14ac:dyDescent="0.3">
      <c r="A9" s="90" t="s">
        <v>113</v>
      </c>
      <c r="B9" s="108"/>
      <c r="C9" s="100"/>
      <c r="D9" s="100">
        <f>+'TTE 7'!G16</f>
        <v>0.25347222222222215</v>
      </c>
      <c r="E9" s="91"/>
      <c r="F9" s="120"/>
      <c r="G9" s="120">
        <f>+'TTE 7'!G17</f>
        <v>0.24652777777777785</v>
      </c>
      <c r="H9" s="108"/>
      <c r="I9" s="109"/>
      <c r="J9" s="109">
        <f>+'TTE 7'!G18</f>
        <v>0.24305555555555547</v>
      </c>
      <c r="K9" s="91"/>
      <c r="L9" s="120"/>
      <c r="M9" s="120">
        <f>+'TTE 7'!G19</f>
        <v>0.25347222222222204</v>
      </c>
      <c r="N9" s="91"/>
      <c r="O9" s="120"/>
      <c r="P9" s="120">
        <f>+'TTE 7'!G20</f>
        <v>0.2506944444444445</v>
      </c>
      <c r="Q9" s="91"/>
      <c r="R9" s="92"/>
      <c r="S9" s="93"/>
      <c r="T9" s="91"/>
      <c r="U9" s="92"/>
      <c r="V9" s="94"/>
      <c r="W9" s="95" t="str">
        <f t="shared" si="0"/>
        <v/>
      </c>
      <c r="X9" s="96" t="str">
        <f t="shared" si="0"/>
        <v/>
      </c>
      <c r="Y9" s="96">
        <f t="shared" si="0"/>
        <v>0.24944444444444441</v>
      </c>
    </row>
    <row r="10" spans="1:25" ht="16.5" thickBot="1" x14ac:dyDescent="0.3">
      <c r="A10" s="76" t="s">
        <v>114</v>
      </c>
      <c r="B10" s="162" t="s">
        <v>110</v>
      </c>
      <c r="C10" s="163"/>
      <c r="D10" s="164"/>
      <c r="E10" s="162" t="s">
        <v>110</v>
      </c>
      <c r="F10" s="163"/>
      <c r="G10" s="164"/>
      <c r="H10" s="162" t="s">
        <v>110</v>
      </c>
      <c r="I10" s="163"/>
      <c r="J10" s="164"/>
      <c r="K10" s="162" t="s">
        <v>110</v>
      </c>
      <c r="L10" s="163"/>
      <c r="M10" s="164"/>
      <c r="N10" s="162" t="s">
        <v>110</v>
      </c>
      <c r="O10" s="163"/>
      <c r="P10" s="164"/>
      <c r="Q10" s="162" t="s">
        <v>110</v>
      </c>
      <c r="R10" s="163"/>
      <c r="S10" s="164"/>
      <c r="T10" s="162" t="s">
        <v>110</v>
      </c>
      <c r="U10" s="163"/>
      <c r="V10" s="163"/>
      <c r="W10" s="179" t="s">
        <v>110</v>
      </c>
      <c r="X10" s="163"/>
      <c r="Y10" s="180"/>
    </row>
    <row r="11" spans="1:25" x14ac:dyDescent="0.25">
      <c r="A11" s="77" t="s">
        <v>111</v>
      </c>
      <c r="B11" s="98"/>
      <c r="C11" s="99">
        <f>+'SUB 6'!D3</f>
        <v>0.33749999999999997</v>
      </c>
      <c r="D11" s="99"/>
      <c r="E11" s="78"/>
      <c r="F11" s="79">
        <f>+'SUB 6'!D4</f>
        <v>0.33680555555555558</v>
      </c>
      <c r="G11" s="79"/>
      <c r="H11" s="98"/>
      <c r="I11" s="99">
        <f>+'SUB 6'!D5</f>
        <v>0.33680555555555558</v>
      </c>
      <c r="J11" s="99"/>
      <c r="K11" s="78"/>
      <c r="L11" s="79">
        <f>+'SUB 6'!D6</f>
        <v>0.34027777777777773</v>
      </c>
      <c r="M11" s="79"/>
      <c r="N11" s="78"/>
      <c r="O11" s="79">
        <f>+'SUB 6'!D7</f>
        <v>0.33680555555555558</v>
      </c>
      <c r="P11" s="79"/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>
        <f>IFERROR(AVERAGE(C11,F11,I11,L11,O11,R11,U11),"")</f>
        <v>0.33763888888888888</v>
      </c>
      <c r="Y11" s="132" t="str">
        <f>IFERROR(AVERAGE(D11,G11,J11,M11,P11,S11,V11),"")</f>
        <v/>
      </c>
    </row>
    <row r="12" spans="1:25" x14ac:dyDescent="0.25">
      <c r="A12" s="77" t="s">
        <v>112</v>
      </c>
      <c r="B12" s="98"/>
      <c r="C12" s="99">
        <f>+'SUB 6'!J3</f>
        <v>0.65972222222222299</v>
      </c>
      <c r="D12" s="99"/>
      <c r="E12" s="78"/>
      <c r="F12" s="79">
        <f>+'SUB 6'!J4</f>
        <v>0.65972222222222221</v>
      </c>
      <c r="G12" s="79"/>
      <c r="H12" s="98"/>
      <c r="I12" s="99">
        <f>+'SUB 6'!J5</f>
        <v>0.65972222222222221</v>
      </c>
      <c r="J12" s="99"/>
      <c r="K12" s="78"/>
      <c r="L12" s="79">
        <f>+'SUB 6'!J6</f>
        <v>0.65972222222222299</v>
      </c>
      <c r="M12" s="79"/>
      <c r="N12" s="78"/>
      <c r="O12" s="79">
        <f>+'SUB 6'!J7</f>
        <v>0.65972222222222299</v>
      </c>
      <c r="P12" s="79"/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>
        <f t="shared" ref="X12:Y13" si="1">IFERROR(AVERAGE(C12,F12,I12,L12,O12,R12,U12),"")</f>
        <v>0.65972222222222265</v>
      </c>
      <c r="Y12" s="133" t="str">
        <f t="shared" si="1"/>
        <v/>
      </c>
    </row>
    <row r="13" spans="1:25" ht="16.5" thickBot="1" x14ac:dyDescent="0.3">
      <c r="A13" s="90" t="s">
        <v>113</v>
      </c>
      <c r="B13" s="108"/>
      <c r="C13" s="99">
        <f>+'SUB 6'!G16</f>
        <v>0.25347222222222299</v>
      </c>
      <c r="D13" s="99"/>
      <c r="E13" s="91"/>
      <c r="F13" s="79">
        <f>+'SUB 6'!G17</f>
        <v>0.24236111111111097</v>
      </c>
      <c r="G13" s="79"/>
      <c r="H13" s="108"/>
      <c r="I13" s="99">
        <f>+'SUB 6'!G18</f>
        <v>0.25138888888888883</v>
      </c>
      <c r="J13" s="99"/>
      <c r="K13" s="91"/>
      <c r="L13" s="79">
        <f>+'SUB 6'!G19</f>
        <v>0.24513888888888974</v>
      </c>
      <c r="M13" s="79"/>
      <c r="N13" s="91"/>
      <c r="O13" s="79">
        <f>+'SUB 6'!G20</f>
        <v>0.25000000000000072</v>
      </c>
      <c r="P13" s="79"/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>
        <f t="shared" si="1"/>
        <v>0.24847222222222265</v>
      </c>
      <c r="Y13" s="134" t="str">
        <f t="shared" si="1"/>
        <v/>
      </c>
    </row>
    <row r="14" spans="1:25" ht="16.5" thickBot="1" x14ac:dyDescent="0.3">
      <c r="A14" s="76" t="s">
        <v>115</v>
      </c>
      <c r="B14" s="162" t="s">
        <v>110</v>
      </c>
      <c r="C14" s="163"/>
      <c r="D14" s="164"/>
      <c r="E14" s="162" t="s">
        <v>110</v>
      </c>
      <c r="F14" s="163"/>
      <c r="G14" s="164"/>
      <c r="H14" s="162" t="s">
        <v>110</v>
      </c>
      <c r="I14" s="163"/>
      <c r="J14" s="164"/>
      <c r="K14" s="162" t="s">
        <v>110</v>
      </c>
      <c r="L14" s="163"/>
      <c r="M14" s="164"/>
      <c r="N14" s="162" t="s">
        <v>110</v>
      </c>
      <c r="O14" s="163"/>
      <c r="P14" s="164"/>
      <c r="Q14" s="162" t="s">
        <v>110</v>
      </c>
      <c r="R14" s="163"/>
      <c r="S14" s="164"/>
      <c r="T14" s="162" t="s">
        <v>110</v>
      </c>
      <c r="U14" s="163"/>
      <c r="V14" s="163"/>
      <c r="W14" s="179" t="s">
        <v>110</v>
      </c>
      <c r="X14" s="163"/>
      <c r="Y14" s="180"/>
    </row>
    <row r="15" spans="1:25" x14ac:dyDescent="0.25">
      <c r="A15" s="77" t="s">
        <v>111</v>
      </c>
      <c r="B15" s="98"/>
      <c r="C15" s="100">
        <f>+'SUB 5'!D3</f>
        <v>0.68402777777777779</v>
      </c>
      <c r="D15" s="100"/>
      <c r="E15" s="98"/>
      <c r="F15" s="99">
        <f>+'SUB 5'!D4</f>
        <v>0.68055555555555547</v>
      </c>
      <c r="G15" s="99"/>
      <c r="H15" s="98"/>
      <c r="I15" s="99">
        <f>+'SUB 5'!D5</f>
        <v>0.68194444444444446</v>
      </c>
      <c r="J15" s="99"/>
      <c r="K15" s="98"/>
      <c r="L15" s="99">
        <f>+'SUB 5'!D6</f>
        <v>0.68055555555555547</v>
      </c>
      <c r="M15" s="99"/>
      <c r="N15" s="98"/>
      <c r="O15" s="99">
        <f>+'SUB 5'!D7</f>
        <v>0.68402777777777779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0.68222222222222206</v>
      </c>
      <c r="Y15" s="129" t="str">
        <f t="shared" si="2"/>
        <v/>
      </c>
    </row>
    <row r="16" spans="1:25" x14ac:dyDescent="0.25">
      <c r="A16" s="77" t="s">
        <v>112</v>
      </c>
      <c r="B16" s="98"/>
      <c r="C16" s="100">
        <f>+'SUB 5'!J3</f>
        <v>0.99305555555555547</v>
      </c>
      <c r="D16" s="100"/>
      <c r="E16" s="98"/>
      <c r="F16" s="99">
        <f>+'SUB 5'!J4</f>
        <v>0.99305555555555547</v>
      </c>
      <c r="G16" s="99"/>
      <c r="H16" s="98"/>
      <c r="I16" s="99">
        <f>+'SUB 5'!J5</f>
        <v>0.99305555555555547</v>
      </c>
      <c r="J16" s="99"/>
      <c r="K16" s="98"/>
      <c r="L16" s="99">
        <f>+'SUB 5'!J6</f>
        <v>0.99305555555555547</v>
      </c>
      <c r="M16" s="99"/>
      <c r="N16" s="98"/>
      <c r="O16" s="99">
        <f>+'SUB 5'!J7</f>
        <v>0.99305555555555547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0.99305555555555558</v>
      </c>
      <c r="Y16" s="130" t="str">
        <f t="shared" si="2"/>
        <v/>
      </c>
    </row>
    <row r="17" spans="1:25" ht="16.5" thickBot="1" x14ac:dyDescent="0.3">
      <c r="A17" s="90" t="s">
        <v>113</v>
      </c>
      <c r="B17" s="108"/>
      <c r="C17" s="100">
        <f>+'SUB 5'!G16</f>
        <v>0.25138888888888877</v>
      </c>
      <c r="D17" s="100"/>
      <c r="E17" s="108"/>
      <c r="F17" s="99">
        <f>+'SUB 5'!G17</f>
        <v>0.24652777777777768</v>
      </c>
      <c r="G17" s="99"/>
      <c r="H17" s="108"/>
      <c r="I17" s="99">
        <f>+'SUB 5'!G18</f>
        <v>0.24652777777777768</v>
      </c>
      <c r="J17" s="99"/>
      <c r="K17" s="108"/>
      <c r="L17" s="99">
        <f>+'SUB 5'!G19</f>
        <v>0.24166666666666659</v>
      </c>
      <c r="M17" s="99"/>
      <c r="N17" s="108"/>
      <c r="O17" s="99">
        <f>+'SUB 5'!G20</f>
        <v>0.24444444444444446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0.24611111111111103</v>
      </c>
      <c r="Y17" s="131" t="str">
        <f t="shared" si="2"/>
        <v/>
      </c>
    </row>
    <row r="18" spans="1:25" ht="16.5" thickBot="1" x14ac:dyDescent="0.3">
      <c r="A18" s="76" t="s">
        <v>116</v>
      </c>
      <c r="B18" s="162" t="s">
        <v>110</v>
      </c>
      <c r="C18" s="163"/>
      <c r="D18" s="164"/>
      <c r="E18" s="162" t="s">
        <v>110</v>
      </c>
      <c r="F18" s="163"/>
      <c r="G18" s="164"/>
      <c r="H18" s="162" t="s">
        <v>110</v>
      </c>
      <c r="I18" s="163"/>
      <c r="J18" s="164"/>
      <c r="K18" s="162" t="s">
        <v>110</v>
      </c>
      <c r="L18" s="163"/>
      <c r="M18" s="164"/>
      <c r="N18" s="162" t="s">
        <v>110</v>
      </c>
      <c r="O18" s="163"/>
      <c r="P18" s="164"/>
      <c r="Q18" s="162" t="s">
        <v>110</v>
      </c>
      <c r="R18" s="163"/>
      <c r="S18" s="164"/>
      <c r="T18" s="162" t="s">
        <v>110</v>
      </c>
      <c r="U18" s="163"/>
      <c r="V18" s="163"/>
      <c r="W18" s="179" t="s">
        <v>110</v>
      </c>
      <c r="X18" s="163"/>
      <c r="Y18" s="180"/>
    </row>
    <row r="19" spans="1:25" x14ac:dyDescent="0.25">
      <c r="A19" s="77" t="s">
        <v>111</v>
      </c>
      <c r="B19" s="98"/>
      <c r="C19" s="99">
        <f>+'TTE 6 '!D3</f>
        <v>0.33680555555555558</v>
      </c>
      <c r="D19" s="102"/>
      <c r="E19" s="78"/>
      <c r="F19" s="79">
        <f>+'TTE 6 '!D4</f>
        <v>0.33680555555555558</v>
      </c>
      <c r="G19" s="82"/>
      <c r="H19" s="98"/>
      <c r="I19" s="99">
        <f>+'TTE 6 '!D5</f>
        <v>0.34027777777777773</v>
      </c>
      <c r="J19" s="102"/>
      <c r="K19" s="78"/>
      <c r="L19" s="79">
        <f>+'TTE 6 '!D6</f>
        <v>0.33680555555555558</v>
      </c>
      <c r="M19" s="82"/>
      <c r="N19" s="78"/>
      <c r="O19" s="79">
        <f>+'TTE 6 '!D7</f>
        <v>0.33680555555555558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0.33750000000000002</v>
      </c>
      <c r="Y19" s="86" t="str">
        <f t="shared" si="3"/>
        <v/>
      </c>
    </row>
    <row r="20" spans="1:25" x14ac:dyDescent="0.25">
      <c r="A20" s="77" t="s">
        <v>112</v>
      </c>
      <c r="B20" s="98"/>
      <c r="C20" s="99">
        <f>+'TTE 6 '!J3</f>
        <v>0.65972222222222199</v>
      </c>
      <c r="D20" s="102"/>
      <c r="E20" s="78"/>
      <c r="F20" s="79">
        <f>+'TTE 6 '!J4</f>
        <v>0.65972222222222199</v>
      </c>
      <c r="G20" s="82"/>
      <c r="H20" s="98"/>
      <c r="I20" s="99">
        <f>+'TTE 6 '!J5</f>
        <v>0.65972222222222199</v>
      </c>
      <c r="J20" s="102"/>
      <c r="K20" s="78"/>
      <c r="L20" s="79">
        <f>+'TTE 6 '!J6</f>
        <v>0.65972222222222199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0.6597222222222221</v>
      </c>
      <c r="Y20" s="89" t="str">
        <f t="shared" si="3"/>
        <v/>
      </c>
    </row>
    <row r="21" spans="1:25" ht="16.5" thickBot="1" x14ac:dyDescent="0.3">
      <c r="A21" s="90" t="s">
        <v>113</v>
      </c>
      <c r="B21" s="108"/>
      <c r="C21" s="99">
        <f>+'TTE 6 '!G16</f>
        <v>0.23958333333333304</v>
      </c>
      <c r="D21" s="111"/>
      <c r="E21" s="91"/>
      <c r="F21" s="79">
        <f>+'TTE 6 '!G17</f>
        <v>0.24999999999999972</v>
      </c>
      <c r="G21" s="93"/>
      <c r="H21" s="108"/>
      <c r="I21" s="99">
        <f>+'TTE 6 '!G18</f>
        <v>0.24444444444444408</v>
      </c>
      <c r="J21" s="111"/>
      <c r="K21" s="91"/>
      <c r="L21" s="79">
        <f>+'TTE 6 '!G19</f>
        <v>0.24305555555555519</v>
      </c>
      <c r="M21" s="93"/>
      <c r="N21" s="91"/>
      <c r="O21" s="79">
        <f>+'TTE 6 '!G20</f>
        <v>0.24166666666666659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0.24374999999999974</v>
      </c>
      <c r="Y21" s="97" t="str">
        <f t="shared" si="3"/>
        <v/>
      </c>
    </row>
    <row r="22" spans="1:25" ht="16.5" thickBot="1" x14ac:dyDescent="0.3">
      <c r="A22" s="76" t="s">
        <v>117</v>
      </c>
      <c r="B22" s="162" t="s">
        <v>110</v>
      </c>
      <c r="C22" s="163"/>
      <c r="D22" s="164"/>
      <c r="E22" s="162" t="s">
        <v>110</v>
      </c>
      <c r="F22" s="163"/>
      <c r="G22" s="164"/>
      <c r="H22" s="162" t="s">
        <v>110</v>
      </c>
      <c r="I22" s="163"/>
      <c r="J22" s="164"/>
      <c r="K22" s="162" t="s">
        <v>110</v>
      </c>
      <c r="L22" s="163"/>
      <c r="M22" s="164"/>
      <c r="N22" s="162" t="s">
        <v>110</v>
      </c>
      <c r="O22" s="163"/>
      <c r="P22" s="164"/>
      <c r="Q22" s="162" t="s">
        <v>110</v>
      </c>
      <c r="R22" s="163"/>
      <c r="S22" s="164"/>
      <c r="T22" s="162" t="s">
        <v>110</v>
      </c>
      <c r="U22" s="163"/>
      <c r="V22" s="163"/>
      <c r="W22" s="179" t="s">
        <v>110</v>
      </c>
      <c r="X22" s="163"/>
      <c r="Y22" s="180"/>
    </row>
    <row r="23" spans="1:25" x14ac:dyDescent="0.25">
      <c r="A23" s="77" t="s">
        <v>111</v>
      </c>
      <c r="B23" s="98"/>
      <c r="C23" s="99"/>
      <c r="D23" s="99">
        <f>+DIABLO!D3</f>
        <v>0.34027777777777773</v>
      </c>
      <c r="E23" s="78"/>
      <c r="F23" s="79"/>
      <c r="G23" s="79">
        <f>+DIABLO!D4</f>
        <v>0.34027777777777773</v>
      </c>
      <c r="H23" s="98"/>
      <c r="I23" s="99"/>
      <c r="J23" s="99">
        <f>+DIABLO!D5</f>
        <v>0.33680555555555558</v>
      </c>
      <c r="K23" s="78"/>
      <c r="L23" s="79"/>
      <c r="M23" s="79">
        <f>+DIABLO!D6</f>
        <v>0.34027777777777773</v>
      </c>
      <c r="N23" s="78"/>
      <c r="O23" s="79"/>
      <c r="P23" s="79">
        <f>+DIABLO!D7</f>
        <v>0.34375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0.34027777777777779</v>
      </c>
    </row>
    <row r="24" spans="1:25" x14ac:dyDescent="0.25">
      <c r="A24" s="77" t="s">
        <v>112</v>
      </c>
      <c r="B24" s="98"/>
      <c r="C24" s="99"/>
      <c r="D24" s="99">
        <f>+DIABLO!J3</f>
        <v>0.65972222222222221</v>
      </c>
      <c r="E24" s="78"/>
      <c r="F24" s="79"/>
      <c r="G24" s="79">
        <f>+DIABLO!D4</f>
        <v>0.34027777777777773</v>
      </c>
      <c r="H24" s="98"/>
      <c r="I24" s="99"/>
      <c r="J24" s="99">
        <f>+DIABLO!J5</f>
        <v>0.65972222222222221</v>
      </c>
      <c r="K24" s="78"/>
      <c r="L24" s="79"/>
      <c r="M24" s="79">
        <f>+DIABLO!J6</f>
        <v>0.65972222222222221</v>
      </c>
      <c r="N24" s="78"/>
      <c r="O24" s="79"/>
      <c r="P24" s="79">
        <f>+DIABLO!J7</f>
        <v>0.65972222222222221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0.59583333333333344</v>
      </c>
    </row>
    <row r="25" spans="1:25" ht="16.5" thickBot="1" x14ac:dyDescent="0.3">
      <c r="A25" s="90" t="s">
        <v>113</v>
      </c>
      <c r="B25" s="108"/>
      <c r="C25" s="99"/>
      <c r="D25" s="99">
        <f>+DIABLO!G16</f>
        <v>0.25347222222222215</v>
      </c>
      <c r="E25" s="91"/>
      <c r="F25" s="79"/>
      <c r="G25" s="79">
        <f>+DIABLO!G17</f>
        <v>0.26249999999999996</v>
      </c>
      <c r="H25" s="108"/>
      <c r="I25" s="99"/>
      <c r="J25" s="99">
        <f>+DIABLO!G18</f>
        <v>0.24861111111111101</v>
      </c>
      <c r="K25" s="91"/>
      <c r="L25" s="79"/>
      <c r="M25" s="79">
        <f>+DIABLO!G19</f>
        <v>0.25208333333333316</v>
      </c>
      <c r="N25" s="91"/>
      <c r="O25" s="79"/>
      <c r="P25" s="79">
        <f>+DIABLO!G20</f>
        <v>0.25347222222222227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0.25402777777777769</v>
      </c>
    </row>
    <row r="26" spans="1:25" ht="16.5" thickBot="1" x14ac:dyDescent="0.3">
      <c r="A26" s="76" t="s">
        <v>118</v>
      </c>
      <c r="B26" s="162" t="s">
        <v>110</v>
      </c>
      <c r="C26" s="163"/>
      <c r="D26" s="164"/>
      <c r="E26" s="162" t="s">
        <v>110</v>
      </c>
      <c r="F26" s="163"/>
      <c r="G26" s="164"/>
      <c r="H26" s="162" t="s">
        <v>110</v>
      </c>
      <c r="I26" s="163"/>
      <c r="J26" s="164"/>
      <c r="K26" s="162" t="s">
        <v>110</v>
      </c>
      <c r="L26" s="163"/>
      <c r="M26" s="164"/>
      <c r="N26" s="162" t="s">
        <v>110</v>
      </c>
      <c r="O26" s="163"/>
      <c r="P26" s="164"/>
      <c r="Q26" s="162" t="s">
        <v>110</v>
      </c>
      <c r="R26" s="163"/>
      <c r="S26" s="164"/>
      <c r="T26" s="162" t="s">
        <v>110</v>
      </c>
      <c r="U26" s="163"/>
      <c r="V26" s="163"/>
      <c r="W26" s="179" t="s">
        <v>110</v>
      </c>
      <c r="X26" s="163"/>
      <c r="Y26" s="180"/>
    </row>
    <row r="27" spans="1:25" x14ac:dyDescent="0.25">
      <c r="A27" s="77" t="s">
        <v>111</v>
      </c>
      <c r="B27" s="98"/>
      <c r="C27" s="99">
        <f>+'PIPA N'!D3</f>
        <v>0.34375</v>
      </c>
      <c r="D27" s="99"/>
      <c r="E27" s="78"/>
      <c r="F27" s="79">
        <f>+'PIPA N'!J4</f>
        <v>0.65972222222222221</v>
      </c>
      <c r="G27" s="79"/>
      <c r="H27" s="98"/>
      <c r="I27" s="99">
        <f>+'PIPA N'!D5</f>
        <v>0.33680555555555558</v>
      </c>
      <c r="J27" s="99"/>
      <c r="K27" s="78"/>
      <c r="L27" s="79">
        <f>+'PIPA N'!D6</f>
        <v>0.34027777777777773</v>
      </c>
      <c r="M27" s="79"/>
      <c r="N27" s="78"/>
      <c r="O27" s="79">
        <f>+'PIPA N'!D7</f>
        <v>0.34375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0.40486111111111106</v>
      </c>
      <c r="Y27" s="132" t="str">
        <f t="shared" si="6"/>
        <v/>
      </c>
    </row>
    <row r="28" spans="1:25" x14ac:dyDescent="0.25">
      <c r="A28" s="115" t="s">
        <v>112</v>
      </c>
      <c r="B28" s="128"/>
      <c r="C28" s="99">
        <f>+'PIPA N'!J3</f>
        <v>0.65972222222222221</v>
      </c>
      <c r="D28" s="99"/>
      <c r="E28" s="116"/>
      <c r="F28" s="79">
        <f>+'PIPA N'!J4</f>
        <v>0.65972222222222221</v>
      </c>
      <c r="G28" s="79"/>
      <c r="H28" s="128"/>
      <c r="I28" s="99">
        <f>+'PIPA N'!J5</f>
        <v>0.65972222222222221</v>
      </c>
      <c r="J28" s="9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0.65972222222222221</v>
      </c>
      <c r="Y28" s="133" t="str">
        <f t="shared" si="6"/>
        <v/>
      </c>
    </row>
    <row r="29" spans="1:25" ht="16.5" thickBot="1" x14ac:dyDescent="0.3">
      <c r="A29" s="90" t="s">
        <v>113</v>
      </c>
      <c r="B29" s="108"/>
      <c r="C29" s="99">
        <f>+'PIPA N'!G16</f>
        <v>0.25694444444444431</v>
      </c>
      <c r="D29" s="99"/>
      <c r="E29" s="91"/>
      <c r="F29" s="79">
        <f>+'PIPA N'!G17</f>
        <v>0.24999999999999994</v>
      </c>
      <c r="G29" s="79"/>
      <c r="H29" s="108"/>
      <c r="I29" s="99">
        <f>+'PIPA N'!G18</f>
        <v>0.25208333333333333</v>
      </c>
      <c r="J29" s="99"/>
      <c r="K29" s="91"/>
      <c r="L29" s="79">
        <f>+'PIPA N'!G19</f>
        <v>0.24999999999999989</v>
      </c>
      <c r="M29" s="79"/>
      <c r="N29" s="91"/>
      <c r="O29" s="79">
        <f>+'PIPA N'!G20</f>
        <v>0.24861111111111106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0.25152777777777768</v>
      </c>
      <c r="Y29" s="134" t="str">
        <f t="shared" si="6"/>
        <v/>
      </c>
    </row>
    <row r="30" spans="1:25" ht="16.5" thickBot="1" x14ac:dyDescent="0.3">
      <c r="A30" s="76" t="s">
        <v>119</v>
      </c>
      <c r="B30" s="162" t="s">
        <v>110</v>
      </c>
      <c r="C30" s="163"/>
      <c r="D30" s="164"/>
      <c r="E30" s="162" t="s">
        <v>110</v>
      </c>
      <c r="F30" s="163"/>
      <c r="G30" s="164"/>
      <c r="H30" s="162" t="s">
        <v>110</v>
      </c>
      <c r="I30" s="163"/>
      <c r="J30" s="164"/>
      <c r="K30" s="162" t="s">
        <v>110</v>
      </c>
      <c r="L30" s="163"/>
      <c r="M30" s="164"/>
      <c r="N30" s="162" t="s">
        <v>110</v>
      </c>
      <c r="O30" s="163"/>
      <c r="P30" s="164"/>
      <c r="Q30" s="162" t="s">
        <v>110</v>
      </c>
      <c r="R30" s="163"/>
      <c r="S30" s="164"/>
      <c r="T30" s="162" t="s">
        <v>110</v>
      </c>
      <c r="U30" s="163"/>
      <c r="V30" s="163"/>
      <c r="W30" s="179" t="s">
        <v>110</v>
      </c>
      <c r="X30" s="163"/>
      <c r="Y30" s="180"/>
    </row>
    <row r="31" spans="1:25" x14ac:dyDescent="0.25">
      <c r="A31" s="77" t="s">
        <v>111</v>
      </c>
      <c r="B31" s="98"/>
      <c r="C31" s="99">
        <f>+'CH colon'!D3</f>
        <v>0.30902777777777779</v>
      </c>
      <c r="D31" s="99"/>
      <c r="E31" s="78"/>
      <c r="F31" s="79">
        <f>+'CH colon'!D4</f>
        <v>0.31388888888888888</v>
      </c>
      <c r="G31" s="79"/>
      <c r="H31" s="98"/>
      <c r="I31" s="99">
        <f>+'CH colon'!D5</f>
        <v>0.3125</v>
      </c>
      <c r="J31" s="99"/>
      <c r="K31" s="78"/>
      <c r="L31" s="79">
        <f>+'CH colon'!D6</f>
        <v>0.30902777777777779</v>
      </c>
      <c r="M31" s="79"/>
      <c r="N31" s="78"/>
      <c r="O31" s="79">
        <f>+'CH colon'!D7</f>
        <v>0.31180555555555556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0.31124999999999997</v>
      </c>
      <c r="Y31" s="86" t="str">
        <f t="shared" si="7"/>
        <v/>
      </c>
    </row>
    <row r="32" spans="1:25" x14ac:dyDescent="0.25">
      <c r="A32" s="77" t="s">
        <v>112</v>
      </c>
      <c r="B32" s="98"/>
      <c r="C32" s="99">
        <f>+'CH colon'!J3</f>
        <v>0.65277777777777801</v>
      </c>
      <c r="D32" s="99"/>
      <c r="E32" s="78"/>
      <c r="F32" s="79">
        <f>+'CH colon'!J4</f>
        <v>0.65277777777777779</v>
      </c>
      <c r="G32" s="79"/>
      <c r="H32" s="98"/>
      <c r="I32" s="99">
        <f>+'CH colon'!J5</f>
        <v>0.65277777777777801</v>
      </c>
      <c r="J32" s="99"/>
      <c r="K32" s="78"/>
      <c r="L32" s="79">
        <f>+'CH colon'!J6</f>
        <v>0.65277777777777801</v>
      </c>
      <c r="M32" s="79"/>
      <c r="N32" s="78"/>
      <c r="O32" s="79">
        <f>+'CH colon'!J7</f>
        <v>0.65277777777777801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0.65277777777777801</v>
      </c>
      <c r="Y32" s="89" t="str">
        <f t="shared" si="7"/>
        <v/>
      </c>
    </row>
    <row r="33" spans="1:25" ht="16.5" thickBot="1" x14ac:dyDescent="0.3">
      <c r="A33" s="90" t="s">
        <v>113</v>
      </c>
      <c r="B33" s="108"/>
      <c r="C33" s="99">
        <f>+'CH colon'!G16</f>
        <v>0.27291666666666692</v>
      </c>
      <c r="D33" s="99"/>
      <c r="E33" s="91"/>
      <c r="F33" s="79">
        <f>+'CH colon'!G17</f>
        <v>0.26388888888888895</v>
      </c>
      <c r="G33" s="79"/>
      <c r="H33" s="108"/>
      <c r="I33" s="99">
        <f>+'CH colon'!G18</f>
        <v>0.26180555555555585</v>
      </c>
      <c r="J33" s="99"/>
      <c r="K33" s="91"/>
      <c r="L33" s="79">
        <f>+'CH colon'!G19</f>
        <v>0.26944444444444471</v>
      </c>
      <c r="M33" s="79"/>
      <c r="N33" s="91"/>
      <c r="O33" s="79">
        <f>+'CH colon'!G20</f>
        <v>0.25138888888888916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0.26388888888888912</v>
      </c>
      <c r="Y33" s="97" t="str">
        <f t="shared" si="7"/>
        <v/>
      </c>
    </row>
    <row r="34" spans="1:25" ht="16.5" thickBot="1" x14ac:dyDescent="0.3">
      <c r="A34" s="76" t="s">
        <v>92</v>
      </c>
      <c r="B34" s="162" t="s">
        <v>110</v>
      </c>
      <c r="C34" s="163"/>
      <c r="D34" s="164"/>
      <c r="E34" s="162" t="s">
        <v>110</v>
      </c>
      <c r="F34" s="163"/>
      <c r="G34" s="164"/>
      <c r="H34" s="162" t="s">
        <v>110</v>
      </c>
      <c r="I34" s="163"/>
      <c r="J34" s="164"/>
      <c r="K34" s="162" t="s">
        <v>110</v>
      </c>
      <c r="L34" s="163"/>
      <c r="M34" s="164"/>
      <c r="N34" s="162" t="s">
        <v>110</v>
      </c>
      <c r="O34" s="163"/>
      <c r="P34" s="164"/>
      <c r="Q34" s="162" t="s">
        <v>110</v>
      </c>
      <c r="R34" s="163"/>
      <c r="S34" s="164"/>
      <c r="T34" s="162" t="s">
        <v>110</v>
      </c>
      <c r="U34" s="163"/>
      <c r="V34" s="163"/>
      <c r="W34" s="179" t="s">
        <v>110</v>
      </c>
      <c r="X34" s="163"/>
      <c r="Y34" s="180"/>
    </row>
    <row r="35" spans="1:25" x14ac:dyDescent="0.25">
      <c r="A35" s="77" t="s">
        <v>111</v>
      </c>
      <c r="B35" s="98"/>
      <c r="C35" s="99">
        <f>+Salvataje!D3</f>
        <v>0.34375</v>
      </c>
      <c r="D35" s="102"/>
      <c r="E35" s="78"/>
      <c r="F35" s="79">
        <f>+Salvataje!D4</f>
        <v>0.34027777777777773</v>
      </c>
      <c r="G35" s="82"/>
      <c r="H35" s="98"/>
      <c r="I35" s="99">
        <f>+Salvataje!D5</f>
        <v>0.33680555555555558</v>
      </c>
      <c r="J35" s="102"/>
      <c r="K35" s="78"/>
      <c r="L35" s="79">
        <f>+Salvataje!D6</f>
        <v>0.34027777777777773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0.33958333333333329</v>
      </c>
      <c r="Y35" s="86" t="str">
        <f t="shared" si="8"/>
        <v/>
      </c>
    </row>
    <row r="36" spans="1:25" x14ac:dyDescent="0.25">
      <c r="A36" s="77" t="s">
        <v>112</v>
      </c>
      <c r="B36" s="98"/>
      <c r="C36" s="99">
        <f>+Salvataje!J3</f>
        <v>0.65972222222222199</v>
      </c>
      <c r="D36" s="102"/>
      <c r="E36" s="78"/>
      <c r="F36" s="79">
        <f>+Salvataje!J4</f>
        <v>0.65972222222222221</v>
      </c>
      <c r="G36" s="82"/>
      <c r="H36" s="98"/>
      <c r="I36" s="99">
        <f>+Salvataje!J5</f>
        <v>0.65972222222222199</v>
      </c>
      <c r="J36" s="102"/>
      <c r="K36" s="78"/>
      <c r="L36" s="79">
        <f>+Salvataje!J6</f>
        <v>0.65972222222222199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0.65972222222222199</v>
      </c>
      <c r="Y36" s="89" t="str">
        <f t="shared" si="8"/>
        <v/>
      </c>
    </row>
    <row r="37" spans="1:25" ht="16.5" thickBot="1" x14ac:dyDescent="0.3">
      <c r="A37" s="90" t="s">
        <v>113</v>
      </c>
      <c r="B37" s="108"/>
      <c r="C37" s="99">
        <f>+Salvataje!G16</f>
        <v>0.25763888888888864</v>
      </c>
      <c r="D37" s="111"/>
      <c r="E37" s="91"/>
      <c r="F37" s="79">
        <f>+Salvataje!G17</f>
        <v>0.24652777777777773</v>
      </c>
      <c r="G37" s="93"/>
      <c r="H37" s="108"/>
      <c r="I37" s="99">
        <f>+Salvataje!G18</f>
        <v>0.2430555555555553</v>
      </c>
      <c r="J37" s="111"/>
      <c r="K37" s="91"/>
      <c r="L37" s="79">
        <f>+Salvataje!G19</f>
        <v>0.25416666666666649</v>
      </c>
      <c r="M37" s="93"/>
      <c r="N37" s="91"/>
      <c r="O37" s="79">
        <f>+Salvataje!G20</f>
        <v>0.2479166666666664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0.24986111111111092</v>
      </c>
      <c r="Y37" s="97" t="str">
        <f t="shared" si="8"/>
        <v/>
      </c>
    </row>
    <row r="38" spans="1:25" ht="16.5" thickBot="1" x14ac:dyDescent="0.3">
      <c r="A38" s="76" t="s">
        <v>86</v>
      </c>
      <c r="B38" s="162" t="s">
        <v>110</v>
      </c>
      <c r="C38" s="163"/>
      <c r="D38" s="164"/>
      <c r="E38" s="162" t="s">
        <v>110</v>
      </c>
      <c r="F38" s="163"/>
      <c r="G38" s="164"/>
      <c r="H38" s="162" t="s">
        <v>110</v>
      </c>
      <c r="I38" s="163"/>
      <c r="J38" s="164"/>
      <c r="K38" s="162" t="s">
        <v>110</v>
      </c>
      <c r="L38" s="163"/>
      <c r="M38" s="164"/>
      <c r="N38" s="162" t="s">
        <v>110</v>
      </c>
      <c r="O38" s="163"/>
      <c r="P38" s="164"/>
      <c r="Q38" s="162" t="s">
        <v>110</v>
      </c>
      <c r="R38" s="163"/>
      <c r="S38" s="164"/>
      <c r="T38" s="162" t="s">
        <v>110</v>
      </c>
      <c r="U38" s="163"/>
      <c r="V38" s="163"/>
      <c r="W38" s="179" t="s">
        <v>110</v>
      </c>
      <c r="X38" s="163"/>
      <c r="Y38" s="180"/>
    </row>
    <row r="39" spans="1:25" x14ac:dyDescent="0.25">
      <c r="A39" s="77" t="s">
        <v>111</v>
      </c>
      <c r="B39" s="98"/>
      <c r="C39" s="99">
        <f>+'LA JUNTA'!D3</f>
        <v>0.3125</v>
      </c>
      <c r="D39" s="102"/>
      <c r="E39" s="78"/>
      <c r="F39" s="79">
        <f>+'LA JUNTA'!D4</f>
        <v>0.31597222222222221</v>
      </c>
      <c r="G39" s="80"/>
      <c r="H39" s="98"/>
      <c r="I39" s="99">
        <f>+'LA JUNTA'!D5</f>
        <v>0.3125</v>
      </c>
      <c r="J39" s="100"/>
      <c r="K39" s="78"/>
      <c r="L39" s="79">
        <f>+'LA JUNTA'!D6</f>
        <v>0.3125</v>
      </c>
      <c r="M39" s="80"/>
      <c r="N39" s="78"/>
      <c r="O39" s="79">
        <f>+'LA JUNTA'!D7</f>
        <v>0.30555555555555552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0.31180555555555556</v>
      </c>
      <c r="Y39" s="86" t="str">
        <f>IFERROR(AVERAGE(D39,G39,J39,M39,P39,S39,V39),"")</f>
        <v/>
      </c>
    </row>
    <row r="40" spans="1:25" x14ac:dyDescent="0.25">
      <c r="A40" s="77" t="s">
        <v>112</v>
      </c>
      <c r="B40" s="98"/>
      <c r="C40" s="99">
        <f>+'LA JUNTA'!J3</f>
        <v>0.65972222222222199</v>
      </c>
      <c r="D40" s="102"/>
      <c r="E40" s="78"/>
      <c r="F40" s="79">
        <f>+'LA JUNTA'!J4</f>
        <v>0.65972222222222221</v>
      </c>
      <c r="G40" s="80"/>
      <c r="H40" s="98"/>
      <c r="I40" s="99">
        <f>+'LA JUNTA'!J5</f>
        <v>0.65972222222222199</v>
      </c>
      <c r="J40" s="100"/>
      <c r="K40" s="78"/>
      <c r="L40" s="79">
        <f>+'LA JUNTA'!J6</f>
        <v>0.65972222222222199</v>
      </c>
      <c r="M40" s="80"/>
      <c r="N40" s="78"/>
      <c r="O40" s="79">
        <f>+'LA JUNTA'!J7</f>
        <v>0.65972222222222199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0.65972222222222199</v>
      </c>
      <c r="Y40" s="89" t="str">
        <f>IFERROR(AVERAGE(D40,G40,J40,M40,P40,S40,V40),"")</f>
        <v/>
      </c>
    </row>
    <row r="41" spans="1:25" ht="16.5" thickBot="1" x14ac:dyDescent="0.3">
      <c r="A41" s="90" t="s">
        <v>113</v>
      </c>
      <c r="B41" s="108"/>
      <c r="C41" s="109">
        <f>+'LA JUNTA'!G16</f>
        <v>0.29027777777777752</v>
      </c>
      <c r="D41" s="111"/>
      <c r="E41" s="91"/>
      <c r="F41" s="120">
        <f>+'LA JUNTA'!G17</f>
        <v>0.29166666666666663</v>
      </c>
      <c r="G41" s="80"/>
      <c r="H41" s="108"/>
      <c r="I41" s="109">
        <f>+'LA JUNTA'!G18</f>
        <v>0.2881944444444442</v>
      </c>
      <c r="J41" s="100"/>
      <c r="K41" s="91"/>
      <c r="L41" s="120">
        <f>+'LA JUNTA'!G19</f>
        <v>0.2881944444444442</v>
      </c>
      <c r="M41" s="80"/>
      <c r="N41" s="91"/>
      <c r="O41" s="120">
        <f>+'LA JUNTA'!G20</f>
        <v>0.29166666666666646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0.28999999999999981</v>
      </c>
      <c r="Y41" s="97" t="str">
        <f>IFERROR(AVERAGE(D41,G41,J41,M41,P41,S41,V41),"")</f>
        <v/>
      </c>
    </row>
    <row r="42" spans="1:25" ht="16.5" thickBot="1" x14ac:dyDescent="0.3">
      <c r="A42" s="76" t="s">
        <v>62</v>
      </c>
      <c r="B42" s="162" t="s">
        <v>110</v>
      </c>
      <c r="C42" s="163"/>
      <c r="D42" s="164"/>
      <c r="E42" s="162" t="s">
        <v>110</v>
      </c>
      <c r="F42" s="163"/>
      <c r="G42" s="164"/>
      <c r="H42" s="162" t="s">
        <v>110</v>
      </c>
      <c r="I42" s="163"/>
      <c r="J42" s="164"/>
      <c r="K42" s="162" t="s">
        <v>110</v>
      </c>
      <c r="L42" s="163"/>
      <c r="M42" s="164"/>
      <c r="N42" s="162" t="s">
        <v>110</v>
      </c>
      <c r="O42" s="163"/>
      <c r="P42" s="164"/>
      <c r="Q42" s="162" t="s">
        <v>110</v>
      </c>
      <c r="R42" s="163"/>
      <c r="S42" s="164"/>
      <c r="T42" s="162" t="s">
        <v>110</v>
      </c>
      <c r="U42" s="163"/>
      <c r="V42" s="163"/>
      <c r="W42" s="179" t="s">
        <v>110</v>
      </c>
      <c r="X42" s="163"/>
      <c r="Y42" s="180"/>
    </row>
    <row r="43" spans="1:25" x14ac:dyDescent="0.25">
      <c r="A43" s="77" t="s">
        <v>111</v>
      </c>
      <c r="B43" s="98"/>
      <c r="C43" s="155">
        <f>+AC!D3</f>
        <v>0.64583333333333337</v>
      </c>
      <c r="D43" s="155"/>
      <c r="E43" s="78"/>
      <c r="F43" s="124">
        <f>+AC!D4</f>
        <v>0.64583333333333337</v>
      </c>
      <c r="G43" s="124"/>
      <c r="H43" s="98"/>
      <c r="I43" s="155">
        <f>+AC!D5</f>
        <v>0.64583333333333337</v>
      </c>
      <c r="J43" s="155"/>
      <c r="K43" s="78"/>
      <c r="L43" s="124">
        <f>+AC!D6</f>
        <v>0.64583333333333337</v>
      </c>
      <c r="M43" s="124"/>
      <c r="N43" s="78"/>
      <c r="O43" s="124">
        <f>+AC!D7</f>
        <v>0.64583333333333337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0.64583333333333337</v>
      </c>
      <c r="Y43" s="85" t="str">
        <f t="shared" si="10"/>
        <v/>
      </c>
    </row>
    <row r="44" spans="1:25" x14ac:dyDescent="0.25">
      <c r="A44" s="77" t="s">
        <v>112</v>
      </c>
      <c r="B44" s="98"/>
      <c r="C44" s="99">
        <f>+AC!J3</f>
        <v>0.98611111111111116</v>
      </c>
      <c r="D44" s="99"/>
      <c r="E44" s="78"/>
      <c r="F44" s="79">
        <f>+AC!J4</f>
        <v>0.98958333333333337</v>
      </c>
      <c r="G44" s="79"/>
      <c r="H44" s="98"/>
      <c r="I44" s="99">
        <f>+AC!J5</f>
        <v>0.98125000000000007</v>
      </c>
      <c r="J44" s="99"/>
      <c r="K44" s="78"/>
      <c r="L44" s="79">
        <f>+AC!J6</f>
        <v>0.98611111111111116</v>
      </c>
      <c r="M44" s="79"/>
      <c r="N44" s="78"/>
      <c r="O44" s="79">
        <f>+AC!J7</f>
        <v>0.98472222222222217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0.98555555555555563</v>
      </c>
      <c r="Y44" s="88" t="str">
        <f t="shared" si="10"/>
        <v/>
      </c>
    </row>
    <row r="45" spans="1:25" ht="16.5" thickBot="1" x14ac:dyDescent="0.3">
      <c r="A45" s="90" t="s">
        <v>113</v>
      </c>
      <c r="B45" s="108"/>
      <c r="C45" s="109">
        <f>+AC!G16</f>
        <v>0.25694444444444442</v>
      </c>
      <c r="D45" s="109"/>
      <c r="E45" s="91"/>
      <c r="F45" s="120">
        <f>+AC!G17</f>
        <v>0.26805555555555549</v>
      </c>
      <c r="G45" s="120"/>
      <c r="H45" s="108"/>
      <c r="I45" s="109">
        <f>+AC!G18</f>
        <v>0.22430555555555554</v>
      </c>
      <c r="J45" s="109"/>
      <c r="K45" s="91"/>
      <c r="L45" s="120">
        <f>+AC!G19</f>
        <v>0.25625000000000009</v>
      </c>
      <c r="M45" s="120"/>
      <c r="N45" s="91"/>
      <c r="O45" s="120">
        <f>+AC!G20</f>
        <v>0.24236111111111103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0.24958333333333332</v>
      </c>
      <c r="Y45" s="96" t="str">
        <f t="shared" si="10"/>
        <v/>
      </c>
    </row>
    <row r="46" spans="1:25" ht="16.5" thickBot="1" x14ac:dyDescent="0.3">
      <c r="A46" s="76" t="s">
        <v>120</v>
      </c>
      <c r="B46" s="162" t="s">
        <v>110</v>
      </c>
      <c r="C46" s="163"/>
      <c r="D46" s="164"/>
      <c r="E46" s="162" t="s">
        <v>110</v>
      </c>
      <c r="F46" s="163"/>
      <c r="G46" s="164"/>
      <c r="H46" s="162" t="s">
        <v>110</v>
      </c>
      <c r="I46" s="163"/>
      <c r="J46" s="164"/>
      <c r="K46" s="162" t="s">
        <v>110</v>
      </c>
      <c r="L46" s="163"/>
      <c r="M46" s="164"/>
      <c r="N46" s="162" t="s">
        <v>110</v>
      </c>
      <c r="O46" s="163"/>
      <c r="P46" s="164"/>
      <c r="Q46" s="162" t="s">
        <v>110</v>
      </c>
      <c r="R46" s="163"/>
      <c r="S46" s="164"/>
      <c r="T46" s="162" t="s">
        <v>110</v>
      </c>
      <c r="U46" s="163"/>
      <c r="V46" s="163"/>
      <c r="W46" s="179" t="s">
        <v>110</v>
      </c>
      <c r="X46" s="163"/>
      <c r="Y46" s="180"/>
    </row>
    <row r="47" spans="1:25" x14ac:dyDescent="0.25">
      <c r="A47" s="77" t="s">
        <v>111</v>
      </c>
      <c r="B47" s="98"/>
      <c r="C47" s="99"/>
      <c r="D47" s="99">
        <f>+Colec!D3</f>
        <v>0.3125</v>
      </c>
      <c r="E47" s="98"/>
      <c r="F47" s="99"/>
      <c r="G47" s="99">
        <f>+Colec!D4</f>
        <v>0.3125</v>
      </c>
      <c r="H47" s="98"/>
      <c r="I47" s="99"/>
      <c r="J47" s="99">
        <f>+Colec!D5</f>
        <v>0.3125</v>
      </c>
      <c r="K47" s="98"/>
      <c r="L47" s="99"/>
      <c r="M47" s="99">
        <f>+Colec!D6</f>
        <v>0.3125</v>
      </c>
      <c r="N47" s="98"/>
      <c r="O47" s="99"/>
      <c r="P47" s="99">
        <f>+Colec!D7</f>
        <v>0.3125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0.3125</v>
      </c>
    </row>
    <row r="48" spans="1:25" x14ac:dyDescent="0.25">
      <c r="A48" s="77" t="s">
        <v>112</v>
      </c>
      <c r="B48" s="98"/>
      <c r="C48" s="99"/>
      <c r="D48" s="99">
        <f>+Colec!J3</f>
        <v>0.65277777777777801</v>
      </c>
      <c r="E48" s="98"/>
      <c r="F48" s="99"/>
      <c r="G48" s="99">
        <f>+Colec!J4</f>
        <v>0.65277777777777779</v>
      </c>
      <c r="H48" s="98"/>
      <c r="I48" s="99"/>
      <c r="J48" s="99">
        <f>+Colec!J5</f>
        <v>0.65277777777777801</v>
      </c>
      <c r="K48" s="98"/>
      <c r="L48" s="99"/>
      <c r="M48" s="99">
        <f>+Colec!J6</f>
        <v>0.65277777777777801</v>
      </c>
      <c r="N48" s="98"/>
      <c r="O48" s="99"/>
      <c r="P48" s="99">
        <f>+Colec!J7</f>
        <v>0.65277777777777801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0.65277777777777801</v>
      </c>
    </row>
    <row r="49" spans="1:25" ht="16.5" thickBot="1" x14ac:dyDescent="0.3">
      <c r="A49" s="90" t="s">
        <v>113</v>
      </c>
      <c r="B49" s="108"/>
      <c r="C49" s="99"/>
      <c r="D49" s="99">
        <f>+Colec!G16</f>
        <v>0.25555555555555587</v>
      </c>
      <c r="E49" s="108"/>
      <c r="F49" s="99"/>
      <c r="G49" s="99">
        <f>+Colec!G17</f>
        <v>0.2638888888888889</v>
      </c>
      <c r="H49" s="108"/>
      <c r="I49" s="99"/>
      <c r="J49" s="99">
        <f>+Colec!G18</f>
        <v>0.25347222222222238</v>
      </c>
      <c r="K49" s="108"/>
      <c r="L49" s="99"/>
      <c r="M49" s="99">
        <f>+Colec!G19</f>
        <v>0.25347222222222249</v>
      </c>
      <c r="N49" s="108"/>
      <c r="O49" s="99"/>
      <c r="P49" s="99">
        <f>+Colec!G20</f>
        <v>0.26250000000000029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0.25777777777777799</v>
      </c>
    </row>
    <row r="50" spans="1:25" ht="16.5" thickBot="1" x14ac:dyDescent="0.3">
      <c r="A50" s="76" t="s">
        <v>61</v>
      </c>
      <c r="B50" s="162" t="s">
        <v>110</v>
      </c>
      <c r="C50" s="163"/>
      <c r="D50" s="164"/>
      <c r="E50" s="162" t="s">
        <v>110</v>
      </c>
      <c r="F50" s="163"/>
      <c r="G50" s="164"/>
      <c r="H50" s="162" t="s">
        <v>110</v>
      </c>
      <c r="I50" s="163"/>
      <c r="J50" s="164"/>
      <c r="K50" s="162" t="s">
        <v>110</v>
      </c>
      <c r="L50" s="163"/>
      <c r="M50" s="164"/>
      <c r="N50" s="162" t="s">
        <v>110</v>
      </c>
      <c r="O50" s="163"/>
      <c r="P50" s="164"/>
      <c r="Q50" s="162" t="s">
        <v>110</v>
      </c>
      <c r="R50" s="163"/>
      <c r="S50" s="164"/>
      <c r="T50" s="162" t="s">
        <v>110</v>
      </c>
      <c r="U50" s="163"/>
      <c r="V50" s="163"/>
      <c r="W50" s="179" t="s">
        <v>110</v>
      </c>
      <c r="X50" s="163"/>
      <c r="Y50" s="180"/>
    </row>
    <row r="51" spans="1:25" x14ac:dyDescent="0.25">
      <c r="A51" s="77" t="s">
        <v>111</v>
      </c>
      <c r="B51" s="98"/>
      <c r="C51" s="100">
        <f>+'P M'!D3</f>
        <v>0.64583333333333337</v>
      </c>
      <c r="D51" s="100"/>
      <c r="E51" s="78"/>
      <c r="F51" s="124">
        <f>+'P M'!D4</f>
        <v>0.64583333333333337</v>
      </c>
      <c r="G51" s="124"/>
      <c r="H51" s="98"/>
      <c r="I51" s="155">
        <f>+'P M'!D5</f>
        <v>0.64583333333333337</v>
      </c>
      <c r="J51" s="155"/>
      <c r="K51" s="78"/>
      <c r="L51" s="124">
        <f>+'P M'!D6</f>
        <v>0.64583333333333337</v>
      </c>
      <c r="M51" s="124"/>
      <c r="N51" s="78"/>
      <c r="O51" s="124"/>
      <c r="P51" s="124">
        <f>+'P M'!D7</f>
        <v>0.64583333333333337</v>
      </c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0.64583333333333337</v>
      </c>
      <c r="Y51" s="85">
        <f t="shared" si="12"/>
        <v>0.64583333333333337</v>
      </c>
    </row>
    <row r="52" spans="1:25" x14ac:dyDescent="0.25">
      <c r="A52" s="77" t="s">
        <v>112</v>
      </c>
      <c r="B52" s="98"/>
      <c r="C52" s="100">
        <f>+'P M'!J3</f>
        <v>0.98611111111111105</v>
      </c>
      <c r="D52" s="100"/>
      <c r="E52" s="78"/>
      <c r="F52" s="79">
        <f>+'P M'!J4</f>
        <v>0.98611111111111116</v>
      </c>
      <c r="G52" s="79"/>
      <c r="H52" s="98"/>
      <c r="I52" s="99">
        <f>+'P M'!J5</f>
        <v>0.98611111111111105</v>
      </c>
      <c r="J52" s="99"/>
      <c r="K52" s="78"/>
      <c r="L52" s="79">
        <f>+'P M'!J6</f>
        <v>0.98611111111111105</v>
      </c>
      <c r="M52" s="79"/>
      <c r="N52" s="78"/>
      <c r="O52" s="79"/>
      <c r="P52" s="79">
        <f>+'P M'!J7</f>
        <v>0.98611111111111105</v>
      </c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0.98611111111111116</v>
      </c>
      <c r="Y52" s="88">
        <f t="shared" si="12"/>
        <v>0.98611111111111105</v>
      </c>
    </row>
    <row r="53" spans="1:25" ht="16.5" thickBot="1" x14ac:dyDescent="0.3">
      <c r="A53" s="90" t="s">
        <v>113</v>
      </c>
      <c r="B53" s="108"/>
      <c r="C53" s="100">
        <f>+'P M'!G16</f>
        <v>0.24652777777777779</v>
      </c>
      <c r="D53" s="100"/>
      <c r="E53" s="91"/>
      <c r="F53" s="120">
        <f>+'P M'!G17</f>
        <v>0.25</v>
      </c>
      <c r="G53" s="120"/>
      <c r="H53" s="108"/>
      <c r="I53" s="109">
        <f>+'P M'!G18</f>
        <v>0.25</v>
      </c>
      <c r="J53" s="109"/>
      <c r="K53" s="91"/>
      <c r="L53" s="120">
        <f>+'P M'!G19</f>
        <v>0.25138888888888888</v>
      </c>
      <c r="M53" s="120"/>
      <c r="N53" s="91"/>
      <c r="O53" s="120"/>
      <c r="P53" s="120">
        <f>+'P M'!G20</f>
        <v>0.25555555555555565</v>
      </c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0.24947916666666667</v>
      </c>
      <c r="Y53" s="96">
        <f t="shared" si="12"/>
        <v>0.25555555555555565</v>
      </c>
    </row>
    <row r="54" spans="1:25" ht="16.5" thickBot="1" x14ac:dyDescent="0.3">
      <c r="A54" s="76" t="s">
        <v>82</v>
      </c>
      <c r="B54" s="162" t="s">
        <v>110</v>
      </c>
      <c r="C54" s="163"/>
      <c r="D54" s="164"/>
      <c r="E54" s="162" t="s">
        <v>110</v>
      </c>
      <c r="F54" s="163"/>
      <c r="G54" s="164"/>
      <c r="H54" s="162" t="s">
        <v>110</v>
      </c>
      <c r="I54" s="163"/>
      <c r="J54" s="164"/>
      <c r="K54" s="162" t="s">
        <v>110</v>
      </c>
      <c r="L54" s="163"/>
      <c r="M54" s="164"/>
      <c r="N54" s="162" t="s">
        <v>110</v>
      </c>
      <c r="O54" s="163"/>
      <c r="P54" s="164"/>
      <c r="Q54" s="162" t="s">
        <v>110</v>
      </c>
      <c r="R54" s="163"/>
      <c r="S54" s="164"/>
      <c r="T54" s="162" t="s">
        <v>110</v>
      </c>
      <c r="U54" s="163"/>
      <c r="V54" s="163"/>
      <c r="W54" s="179" t="s">
        <v>110</v>
      </c>
      <c r="X54" s="163"/>
      <c r="Y54" s="180"/>
    </row>
    <row r="55" spans="1:25" x14ac:dyDescent="0.25">
      <c r="A55" s="77" t="s">
        <v>111</v>
      </c>
      <c r="B55" s="98"/>
      <c r="C55" s="99"/>
      <c r="D55" s="99">
        <f>+'Vent '!D3</f>
        <v>0.3125</v>
      </c>
      <c r="E55" s="98"/>
      <c r="F55" s="99"/>
      <c r="G55" s="99">
        <f>+'Vent '!D4</f>
        <v>0.3125</v>
      </c>
      <c r="H55" s="98"/>
      <c r="I55" s="99"/>
      <c r="J55" s="99">
        <f>+'Vent '!G5</f>
        <v>0.60069444444444442</v>
      </c>
      <c r="K55" s="98"/>
      <c r="L55" s="99"/>
      <c r="M55" s="99">
        <f>+'Vent '!D6</f>
        <v>0.3125</v>
      </c>
      <c r="N55" s="98"/>
      <c r="O55" s="99"/>
      <c r="P55" s="99">
        <f>+'Vent '!D7</f>
        <v>0.3125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0.37013888888888891</v>
      </c>
    </row>
    <row r="56" spans="1:25" x14ac:dyDescent="0.25">
      <c r="A56" s="77" t="s">
        <v>112</v>
      </c>
      <c r="B56" s="98"/>
      <c r="C56" s="99"/>
      <c r="D56" s="99">
        <f>+'Vent '!J3</f>
        <v>0.65277777777777779</v>
      </c>
      <c r="E56" s="98"/>
      <c r="F56" s="99"/>
      <c r="G56" s="99">
        <f>+'Vent '!J4</f>
        <v>0.65277777777777801</v>
      </c>
      <c r="H56" s="98"/>
      <c r="I56" s="99"/>
      <c r="J56" s="99">
        <f>+'Vent '!J5</f>
        <v>0.65277777777777801</v>
      </c>
      <c r="K56" s="98"/>
      <c r="L56" s="99"/>
      <c r="M56" s="99">
        <f>+'Vent '!J6</f>
        <v>0.65277777777777779</v>
      </c>
      <c r="N56" s="98"/>
      <c r="O56" s="99"/>
      <c r="P56" s="99">
        <f>+'Vent '!J7</f>
        <v>0.65277777777777779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0.6527777777777779</v>
      </c>
    </row>
    <row r="57" spans="1:25" ht="16.5" thickBot="1" x14ac:dyDescent="0.3">
      <c r="A57" s="90" t="s">
        <v>113</v>
      </c>
      <c r="B57" s="108"/>
      <c r="C57" s="99"/>
      <c r="D57" s="99">
        <f>+'Vent '!G16</f>
        <v>0.25000000000000006</v>
      </c>
      <c r="E57" s="108"/>
      <c r="F57" s="99"/>
      <c r="G57" s="99">
        <f>+'Vent '!G17</f>
        <v>0.26388888888888917</v>
      </c>
      <c r="H57" s="108"/>
      <c r="I57" s="99"/>
      <c r="J57" s="99">
        <f>+'Vent '!G18</f>
        <v>0.26527777777777795</v>
      </c>
      <c r="K57" s="108"/>
      <c r="L57" s="99"/>
      <c r="M57" s="99">
        <f>+'Vent '!G19</f>
        <v>0.25208333333333327</v>
      </c>
      <c r="N57" s="108"/>
      <c r="O57" s="99"/>
      <c r="P57" s="99">
        <f>+'Vent '!G20</f>
        <v>0.25694444444444448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>IFERROR(AVERAGE(D57,G57,J57,M57,P57,S57,V57),"")</f>
        <v>0.25763888888888897</v>
      </c>
    </row>
    <row r="58" spans="1:25" ht="16.5" thickBot="1" x14ac:dyDescent="0.3">
      <c r="A58" s="76" t="s">
        <v>121</v>
      </c>
      <c r="B58" s="162" t="s">
        <v>110</v>
      </c>
      <c r="C58" s="163"/>
      <c r="D58" s="164"/>
      <c r="E58" s="162" t="s">
        <v>110</v>
      </c>
      <c r="F58" s="163"/>
      <c r="G58" s="164"/>
      <c r="H58" s="162" t="s">
        <v>110</v>
      </c>
      <c r="I58" s="163"/>
      <c r="J58" s="164"/>
      <c r="K58" s="162" t="s">
        <v>110</v>
      </c>
      <c r="L58" s="163"/>
      <c r="M58" s="164"/>
      <c r="N58" s="162" t="s">
        <v>110</v>
      </c>
      <c r="O58" s="163"/>
      <c r="P58" s="164"/>
      <c r="Q58" s="162" t="s">
        <v>110</v>
      </c>
      <c r="R58" s="163"/>
      <c r="S58" s="164"/>
      <c r="T58" s="162" t="s">
        <v>110</v>
      </c>
      <c r="U58" s="163"/>
      <c r="V58" s="163"/>
      <c r="W58" s="179" t="s">
        <v>110</v>
      </c>
      <c r="X58" s="163"/>
      <c r="Y58" s="164"/>
    </row>
    <row r="59" spans="1:25" x14ac:dyDescent="0.25">
      <c r="A59" s="77" t="s">
        <v>111</v>
      </c>
      <c r="B59" s="98"/>
      <c r="C59" s="99">
        <f>+ACCU!D3</f>
        <v>0.33680555555555558</v>
      </c>
      <c r="D59" s="102"/>
      <c r="E59" s="78"/>
      <c r="F59" s="79">
        <f>+ACCU!D4</f>
        <v>0.33680555555555558</v>
      </c>
      <c r="G59" s="82"/>
      <c r="H59" s="98"/>
      <c r="I59" s="99">
        <f>+ACCU!D5</f>
        <v>0.33680555555555558</v>
      </c>
      <c r="J59" s="102"/>
      <c r="K59" s="78"/>
      <c r="L59" s="79">
        <f>+ACCU!D6</f>
        <v>0.33680555555555602</v>
      </c>
      <c r="M59" s="82"/>
      <c r="N59" s="78"/>
      <c r="O59" s="79">
        <f>+ACCU!D7</f>
        <v>0.33680555555555602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0.33680555555555575</v>
      </c>
      <c r="Y59" s="121" t="str">
        <f t="shared" si="14"/>
        <v/>
      </c>
    </row>
    <row r="60" spans="1:25" x14ac:dyDescent="0.25">
      <c r="A60" s="77" t="s">
        <v>112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98"/>
      <c r="I60" s="99">
        <f>+ACCU!J5</f>
        <v>0.83333333333333304</v>
      </c>
      <c r="J60" s="10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5" thickBot="1" x14ac:dyDescent="0.3">
      <c r="A61" s="90" t="s">
        <v>113</v>
      </c>
      <c r="B61" s="108"/>
      <c r="C61" s="109">
        <f>+ACCU!G16</f>
        <v>0.44444444444444453</v>
      </c>
      <c r="D61" s="111"/>
      <c r="E61" s="91"/>
      <c r="F61" s="120">
        <f>+ACCU!G17</f>
        <v>0.43749999999999994</v>
      </c>
      <c r="G61" s="93"/>
      <c r="H61" s="108"/>
      <c r="I61" s="109">
        <f>+ACCU!G18</f>
        <v>0.45138888888888862</v>
      </c>
      <c r="J61" s="111"/>
      <c r="K61" s="91"/>
      <c r="L61" s="120">
        <f>+ACCU!G19</f>
        <v>0.43749999999999972</v>
      </c>
      <c r="M61" s="93"/>
      <c r="N61" s="91"/>
      <c r="O61" s="120">
        <f>+ACCU!G20</f>
        <v>0.43611111111111078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>IFERROR(AVERAGE(C61,F61,I61,L61,O61,R61,U61),"")</f>
        <v>0.44138888888888872</v>
      </c>
      <c r="Y61" s="123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6:AC11"/>
  <sheetViews>
    <sheetView workbookViewId="0">
      <selection activeCell="Q11" sqref="Q11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6" spans="2:29" ht="16.5" thickBot="1" x14ac:dyDescent="0.3"/>
    <row r="7" spans="2:29" ht="16.5" thickBot="1" x14ac:dyDescent="0.3">
      <c r="B7" s="137"/>
      <c r="C7" s="187">
        <f>'TTE 6 '!C3</f>
        <v>44949</v>
      </c>
      <c r="D7" s="188"/>
      <c r="E7" s="188"/>
      <c r="F7" s="187">
        <f>+'TTE 6 '!C4</f>
        <v>44950</v>
      </c>
      <c r="G7" s="188"/>
      <c r="H7" s="188"/>
      <c r="I7" s="187">
        <f>'TTE 6 '!C5</f>
        <v>44951</v>
      </c>
      <c r="J7" s="188"/>
      <c r="K7" s="188"/>
      <c r="L7" s="187">
        <f>'TTE 6 '!C6</f>
        <v>44952</v>
      </c>
      <c r="M7" s="188"/>
      <c r="N7" s="188"/>
      <c r="O7" s="187">
        <f>+'TTE 6 '!C7</f>
        <v>44953</v>
      </c>
      <c r="P7" s="188"/>
      <c r="Q7" s="188"/>
      <c r="R7" s="187">
        <f>'TTE 6 '!C8</f>
        <v>44954</v>
      </c>
      <c r="S7" s="188"/>
      <c r="T7" s="188"/>
      <c r="U7" s="187">
        <f>'TTE 6 '!C9</f>
        <v>44955</v>
      </c>
      <c r="V7" s="188"/>
      <c r="W7" s="188"/>
      <c r="X7" s="189" t="s">
        <v>107</v>
      </c>
      <c r="Y7" s="190"/>
      <c r="Z7" s="191"/>
      <c r="AA7" s="192" t="s">
        <v>122</v>
      </c>
      <c r="AC7" s="181" t="s">
        <v>128</v>
      </c>
    </row>
    <row r="8" spans="2:29" ht="16.5" thickBot="1" x14ac:dyDescent="0.3">
      <c r="B8" s="137"/>
      <c r="C8" s="142" t="s">
        <v>108</v>
      </c>
      <c r="D8" s="143" t="s">
        <v>103</v>
      </c>
      <c r="E8" s="144" t="s">
        <v>104</v>
      </c>
      <c r="F8" s="142" t="s">
        <v>108</v>
      </c>
      <c r="G8" s="143" t="s">
        <v>103</v>
      </c>
      <c r="H8" s="144" t="s">
        <v>104</v>
      </c>
      <c r="I8" s="142" t="s">
        <v>108</v>
      </c>
      <c r="J8" s="143" t="s">
        <v>103</v>
      </c>
      <c r="K8" s="144" t="s">
        <v>104</v>
      </c>
      <c r="L8" s="142" t="s">
        <v>108</v>
      </c>
      <c r="M8" s="143" t="s">
        <v>103</v>
      </c>
      <c r="N8" s="144" t="s">
        <v>104</v>
      </c>
      <c r="O8" s="142" t="s">
        <v>108</v>
      </c>
      <c r="P8" s="143" t="s">
        <v>103</v>
      </c>
      <c r="Q8" s="144" t="s">
        <v>104</v>
      </c>
      <c r="R8" s="142" t="s">
        <v>108</v>
      </c>
      <c r="S8" s="143" t="s">
        <v>103</v>
      </c>
      <c r="T8" s="144" t="s">
        <v>104</v>
      </c>
      <c r="U8" s="142" t="s">
        <v>108</v>
      </c>
      <c r="V8" s="143" t="s">
        <v>103</v>
      </c>
      <c r="W8" s="144" t="s">
        <v>104</v>
      </c>
      <c r="X8" s="142" t="s">
        <v>108</v>
      </c>
      <c r="Y8" s="143" t="s">
        <v>103</v>
      </c>
      <c r="Z8" s="151" t="s">
        <v>104</v>
      </c>
      <c r="AA8" s="193"/>
      <c r="AC8" s="182"/>
    </row>
    <row r="9" spans="2:29" ht="16.5" thickBot="1" x14ac:dyDescent="0.3">
      <c r="B9" s="138" t="s">
        <v>123</v>
      </c>
      <c r="C9" s="184" t="s">
        <v>124</v>
      </c>
      <c r="D9" s="185"/>
      <c r="E9" s="186"/>
      <c r="F9" s="184" t="s">
        <v>124</v>
      </c>
      <c r="G9" s="185"/>
      <c r="H9" s="186"/>
      <c r="I9" s="184" t="s">
        <v>124</v>
      </c>
      <c r="J9" s="185"/>
      <c r="K9" s="186"/>
      <c r="L9" s="184" t="s">
        <v>124</v>
      </c>
      <c r="M9" s="185"/>
      <c r="N9" s="186"/>
      <c r="O9" s="184" t="s">
        <v>124</v>
      </c>
      <c r="P9" s="185"/>
      <c r="Q9" s="186"/>
      <c r="R9" s="184" t="s">
        <v>124</v>
      </c>
      <c r="S9" s="185"/>
      <c r="T9" s="186"/>
      <c r="U9" s="184" t="s">
        <v>124</v>
      </c>
      <c r="V9" s="185"/>
      <c r="W9" s="186"/>
      <c r="X9" s="184" t="s">
        <v>124</v>
      </c>
      <c r="Y9" s="185"/>
      <c r="Z9" s="185"/>
      <c r="AA9" s="139" t="s">
        <v>125</v>
      </c>
      <c r="AC9" s="183"/>
    </row>
    <row r="10" spans="2:29" ht="27.75" thickBot="1" x14ac:dyDescent="0.3">
      <c r="B10" s="140" t="s">
        <v>126</v>
      </c>
      <c r="C10" s="148"/>
      <c r="D10" s="149"/>
      <c r="E10" s="150"/>
      <c r="F10" s="148"/>
      <c r="G10" s="149"/>
      <c r="H10" s="150"/>
      <c r="I10" s="148"/>
      <c r="J10" s="149"/>
      <c r="K10" s="150"/>
      <c r="L10" s="148"/>
      <c r="M10" s="149"/>
      <c r="N10" s="150"/>
      <c r="O10" s="148"/>
      <c r="P10" s="149"/>
      <c r="Q10" s="150"/>
      <c r="R10" s="148"/>
      <c r="S10" s="149"/>
      <c r="T10" s="150"/>
      <c r="U10" s="148"/>
      <c r="V10" s="149"/>
      <c r="W10" s="150"/>
      <c r="X10" s="135">
        <f>C10+F10+I10+L10+O10+R10+U10</f>
        <v>0</v>
      </c>
      <c r="Y10" s="135">
        <f>D10+G10+J10+M10+P10+S10+V10</f>
        <v>0</v>
      </c>
      <c r="Z10" s="152">
        <f>E10+H10+K10+N10+Q10+T10+W10</f>
        <v>0</v>
      </c>
      <c r="AA10" s="154">
        <f>X10+Y10+Z10</f>
        <v>0</v>
      </c>
      <c r="AB10">
        <f>AA10/AC10</f>
        <v>0</v>
      </c>
      <c r="AC10" s="156">
        <v>15</v>
      </c>
    </row>
    <row r="11" spans="2:29" ht="27.75" thickBot="1" x14ac:dyDescent="0.3">
      <c r="B11" s="141" t="s">
        <v>127</v>
      </c>
      <c r="C11" s="145"/>
      <c r="D11" s="146"/>
      <c r="E11" s="147"/>
      <c r="F11" s="145"/>
      <c r="G11" s="146"/>
      <c r="H11" s="147"/>
      <c r="I11" s="145"/>
      <c r="J11" s="146"/>
      <c r="K11" s="147"/>
      <c r="L11" s="145"/>
      <c r="M11" s="146"/>
      <c r="N11" s="147"/>
      <c r="O11" s="145"/>
      <c r="P11" s="146"/>
      <c r="Q11" s="147"/>
      <c r="R11" s="145"/>
      <c r="S11" s="146"/>
      <c r="T11" s="147"/>
      <c r="U11" s="145"/>
      <c r="V11" s="146"/>
      <c r="W11" s="147"/>
      <c r="X11" s="136">
        <f>C11+F11+I11+L11+O11+R11+C11</f>
        <v>0</v>
      </c>
      <c r="Y11" s="136">
        <f>D11+G11+J11+M11+P11+S11+V11</f>
        <v>0</v>
      </c>
      <c r="Z11" s="136">
        <f>E11+H11+K11+N11+Q11+T11+W11</f>
        <v>0</v>
      </c>
      <c r="AA11" s="153">
        <f>X11+Y11+Z11</f>
        <v>0</v>
      </c>
      <c r="AB11">
        <f>AA11/AC11</f>
        <v>0</v>
      </c>
      <c r="AC11" s="157">
        <v>15</v>
      </c>
    </row>
  </sheetData>
  <mergeCells count="18"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  <mergeCell ref="L9:N9"/>
    <mergeCell ref="O9:Q9"/>
    <mergeCell ref="R9:T9"/>
    <mergeCell ref="AA7:AA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G4" sqref="G4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95</v>
      </c>
      <c r="B3" s="8" t="s">
        <v>37</v>
      </c>
      <c r="C3" s="2">
        <f>+Tabla5[[#This Row],[FECHA]]</f>
        <v>44949</v>
      </c>
      <c r="D3" s="29">
        <v>0.68402777777777779</v>
      </c>
      <c r="E3" s="29">
        <v>0.69791666666666663</v>
      </c>
      <c r="F3" s="29">
        <v>0.7104166666666667</v>
      </c>
      <c r="G3" s="27">
        <v>0.94791666666666663</v>
      </c>
      <c r="H3" s="27">
        <v>0.95486111111111116</v>
      </c>
      <c r="I3" s="27">
        <v>0.97916666666666663</v>
      </c>
      <c r="J3" s="27">
        <v>0.99305555555555547</v>
      </c>
      <c r="K3" s="37" t="s">
        <v>90</v>
      </c>
      <c r="L3" s="38"/>
      <c r="M3" s="38"/>
      <c r="N3" s="39" t="s">
        <v>15</v>
      </c>
      <c r="O3" s="2">
        <f>Tabla513[[#This Row],[FECHA]]</f>
        <v>44949</v>
      </c>
      <c r="P3" s="1">
        <f>D3</f>
        <v>0.68402777777777779</v>
      </c>
      <c r="Q3" s="1">
        <f>E3-D3</f>
        <v>1.388888888888884E-2</v>
      </c>
      <c r="R3" s="1">
        <f>F3-E3</f>
        <v>1.2500000000000067E-2</v>
      </c>
      <c r="S3" s="1">
        <f>G3-F3</f>
        <v>0.23749999999999993</v>
      </c>
      <c r="T3" s="1">
        <f>+Tabla513[[#This Row],[ALMUERZO]]-Tabla513[[#This Row],[TERMINO ACT. AM]]</f>
        <v>6.9444444444445308E-3</v>
      </c>
      <c r="U3" s="1">
        <f>+Tabla513[[#This Row],[INICIO ACTIVIDADES PM]]-Tabla513[[#This Row],[ALMUERZO]]</f>
        <v>2.4305555555555469E-2</v>
      </c>
      <c r="V3" s="1">
        <f>+Tabla513[[#This Row],[TERMINO ACTIVIDADES PM]]-Tabla513[[#This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95</v>
      </c>
      <c r="B4" s="8" t="s">
        <v>26</v>
      </c>
      <c r="C4" s="2">
        <f>+Tabla5[[#This Row],[FECHA]]</f>
        <v>44950</v>
      </c>
      <c r="D4" s="29">
        <v>0.68055555555555547</v>
      </c>
      <c r="E4" s="29">
        <v>0.70486111111111116</v>
      </c>
      <c r="F4" s="29">
        <v>0.71527777777777779</v>
      </c>
      <c r="G4" s="27">
        <v>0.94097222222222221</v>
      </c>
      <c r="H4" s="27">
        <v>0.94791666666666663</v>
      </c>
      <c r="I4" s="27">
        <v>0.97222222222222221</v>
      </c>
      <c r="J4" s="27">
        <v>0.99305555555555547</v>
      </c>
      <c r="K4" s="37" t="s">
        <v>90</v>
      </c>
      <c r="M4" s="3"/>
      <c r="N4" s="3" t="s">
        <v>16</v>
      </c>
      <c r="O4" s="2">
        <f>Tabla513[[#This Row],[FECHA]]</f>
        <v>44950</v>
      </c>
      <c r="P4" s="1">
        <f>D4</f>
        <v>0.68055555555555547</v>
      </c>
      <c r="Q4" s="1">
        <f t="shared" ref="Q4:S7" si="0">E4-D4</f>
        <v>2.4305555555555691E-2</v>
      </c>
      <c r="R4" s="1">
        <f t="shared" si="0"/>
        <v>1.041666666666663E-2</v>
      </c>
      <c r="S4" s="1">
        <f t="shared" si="0"/>
        <v>0.22569444444444442</v>
      </c>
      <c r="T4" s="1">
        <f>+Tabla513[[#This Row],[ALMUERZO]]-Tabla513[[#This Row],[TERMINO ACT. AM]]</f>
        <v>6.9444444444444198E-3</v>
      </c>
      <c r="U4" s="1">
        <f>+Tabla513[[#This Row],[INICIO ACTIVIDADES PM]]-Tabla513[[#This Row],[ALMUERZO]]</f>
        <v>2.430555555555558E-2</v>
      </c>
      <c r="V4" s="1">
        <f>+Tabla513[[#This Row],[TERMINO ACTIVIDADES PM]]-Tabla513[[#This Row],[INICIO ACTIVIDADES PM]]</f>
        <v>2.0833333333333259E-2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95</v>
      </c>
      <c r="B5" s="8" t="s">
        <v>27</v>
      </c>
      <c r="C5" s="2">
        <f>+Tabla5[[#This Row],[FECHA]]</f>
        <v>44951</v>
      </c>
      <c r="D5" s="29">
        <v>0.68194444444444446</v>
      </c>
      <c r="E5" s="29">
        <v>0.70277777777777783</v>
      </c>
      <c r="F5" s="29">
        <v>0.71527777777777779</v>
      </c>
      <c r="G5" s="27">
        <v>0.94791666666666663</v>
      </c>
      <c r="H5" s="27">
        <v>0.95486111111111116</v>
      </c>
      <c r="I5" s="27">
        <v>0.97916666666666663</v>
      </c>
      <c r="J5" s="27">
        <v>0.99305555555555547</v>
      </c>
      <c r="K5" s="37" t="s">
        <v>90</v>
      </c>
      <c r="M5" s="3"/>
      <c r="N5" s="3" t="s">
        <v>16</v>
      </c>
      <c r="O5" s="2">
        <f>Tabla513[[#This Row],[FECHA]]</f>
        <v>44951</v>
      </c>
      <c r="P5" s="1">
        <f>D5</f>
        <v>0.68194444444444446</v>
      </c>
      <c r="Q5" s="1">
        <f t="shared" si="0"/>
        <v>2.083333333333337E-2</v>
      </c>
      <c r="R5" s="1">
        <f t="shared" si="0"/>
        <v>1.2499999999999956E-2</v>
      </c>
      <c r="S5" s="1">
        <f t="shared" si="0"/>
        <v>0.23263888888888884</v>
      </c>
      <c r="T5" s="1">
        <f>+Tabla513[[#This Row],[ALMUERZO]]-Tabla513[[#This Row],[TERMINO ACT. AM]]</f>
        <v>6.9444444444445308E-3</v>
      </c>
      <c r="U5" s="1">
        <f>+Tabla513[[#This Row],[INICIO ACTIVIDADES PM]]-Tabla513[[#This Row],[ALMUERZO]]</f>
        <v>2.4305555555555469E-2</v>
      </c>
      <c r="V5" s="1">
        <f>+Tabla513[[#This Row],[TERMINO ACTIVIDADES PM]]-Tabla513[[#This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95</v>
      </c>
      <c r="B6" s="8" t="s">
        <v>28</v>
      </c>
      <c r="C6" s="2">
        <f>+Tabla5[[#This Row],[FECHA]]</f>
        <v>44952</v>
      </c>
      <c r="D6" s="29">
        <v>0.68055555555555547</v>
      </c>
      <c r="E6" s="29">
        <v>0.70833333333333337</v>
      </c>
      <c r="F6" s="29">
        <v>0.71875</v>
      </c>
      <c r="G6" s="27">
        <v>0.93958333333333333</v>
      </c>
      <c r="H6" s="29">
        <v>0.94791666666666663</v>
      </c>
      <c r="I6" s="27">
        <v>0.97222222222222221</v>
      </c>
      <c r="J6" s="27">
        <v>0.99305555555555547</v>
      </c>
      <c r="K6" s="37" t="s">
        <v>90</v>
      </c>
      <c r="M6" s="3"/>
      <c r="N6" s="3" t="s">
        <v>17</v>
      </c>
      <c r="O6" s="2">
        <f>Tabla513[[#This Row],[FECHA]]</f>
        <v>44952</v>
      </c>
      <c r="P6" s="1">
        <f>D6</f>
        <v>0.68055555555555547</v>
      </c>
      <c r="Q6" s="1">
        <f t="shared" si="0"/>
        <v>2.7777777777777901E-2</v>
      </c>
      <c r="R6" s="1">
        <f t="shared" si="0"/>
        <v>1.041666666666663E-2</v>
      </c>
      <c r="S6" s="1">
        <f t="shared" si="0"/>
        <v>0.22083333333333333</v>
      </c>
      <c r="T6" s="1">
        <f>+Tabla513[[#This Row],[ALMUERZO]]-Tabla513[[#This Row],[TERMINO ACT. AM]]</f>
        <v>8.3333333333333037E-3</v>
      </c>
      <c r="U6" s="1">
        <f>+Tabla513[[#This Row],[INICIO ACTIVIDADES PM]]-Tabla513[[#This Row],[ALMUERZO]]</f>
        <v>2.430555555555558E-2</v>
      </c>
      <c r="V6" s="1">
        <f>+Tabla513[[#This Row],[TERMINO ACTIVIDADES PM]]-Tabla513[[#This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95</v>
      </c>
      <c r="B7" s="8" t="s">
        <v>38</v>
      </c>
      <c r="C7" s="2">
        <f>+Tabla5[[#This Row],[FECHA]]</f>
        <v>44953</v>
      </c>
      <c r="D7" s="29">
        <v>0.68402777777777779</v>
      </c>
      <c r="E7" s="29">
        <v>0.70138888888888884</v>
      </c>
      <c r="F7" s="29">
        <v>0.71736111111111101</v>
      </c>
      <c r="G7" s="27">
        <v>0.94791666666666663</v>
      </c>
      <c r="H7" s="27">
        <v>0.95486111111111116</v>
      </c>
      <c r="I7" s="27">
        <v>0.97916666666666663</v>
      </c>
      <c r="J7" s="27">
        <v>0.99305555555555547</v>
      </c>
      <c r="K7" s="37" t="s">
        <v>90</v>
      </c>
      <c r="M7" s="3"/>
      <c r="N7" s="3" t="s">
        <v>18</v>
      </c>
      <c r="O7" s="2">
        <f>Tabla513[[#This Row],[FECHA]]</f>
        <v>44953</v>
      </c>
      <c r="P7" s="1">
        <f>D7</f>
        <v>0.68402777777777779</v>
      </c>
      <c r="Q7" s="1">
        <f t="shared" si="0"/>
        <v>1.7361111111111049E-2</v>
      </c>
      <c r="R7" s="1">
        <f t="shared" si="0"/>
        <v>1.5972222222222165E-2</v>
      </c>
      <c r="S7" s="1">
        <f t="shared" si="0"/>
        <v>0.23055555555555562</v>
      </c>
      <c r="T7" s="1">
        <f>+Tabla513[[#This Row],[ALMUERZO]]-Tabla513[[#This Row],[TERMINO ACT. AM]]</f>
        <v>6.9444444444445308E-3</v>
      </c>
      <c r="U7" s="1">
        <f>+Tabla513[[#This Row],[INICIO ACTIVIDADES PM]]-Tabla513[[#This Row],[ALMUERZO]]</f>
        <v>2.4305555555555469E-2</v>
      </c>
      <c r="V7" s="1">
        <f>+Tabla513[[#This Row],[TERMINO ACTIVIDADES PM]]-Tabla513[[#This Row],[INICIO ACTIVIDADES PM]]</f>
        <v>1.388888888888884E-2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77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0.25138888888888877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0.24652777777777768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0.24652777777777768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0.24166666666666659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0.24444444444444446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0.24611111111111103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0.98444444444444412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58" t="s">
        <v>105</v>
      </c>
      <c r="I29" s="159" t="s">
        <v>103</v>
      </c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0"/>
      <c r="T31" s="1"/>
    </row>
    <row r="32" spans="1:20" ht="15.6" customHeight="1" x14ac:dyDescent="0.25">
      <c r="H32" s="158"/>
      <c r="I32" s="161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A3" sqref="A3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194" t="s">
        <v>67</v>
      </c>
      <c r="C2" s="195"/>
      <c r="D2" s="195"/>
      <c r="E2" s="195"/>
      <c r="F2" s="195"/>
      <c r="G2" s="195"/>
      <c r="H2" s="195"/>
      <c r="I2" s="196"/>
    </row>
    <row r="3" spans="2:9" ht="32.25" thickBot="1" x14ac:dyDescent="0.3">
      <c r="B3" s="42" t="s">
        <v>2</v>
      </c>
      <c r="C3" s="42" t="s">
        <v>0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</row>
    <row r="4" spans="2:9" ht="16.5" thickBot="1" x14ac:dyDescent="0.3">
      <c r="B4" s="43" t="s">
        <v>68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5" thickBot="1" x14ac:dyDescent="0.3">
      <c r="B5" s="46" t="s">
        <v>69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5" thickBot="1" x14ac:dyDescent="0.3">
      <c r="B6" s="46" t="s">
        <v>70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5" thickBot="1" x14ac:dyDescent="0.3">
      <c r="B7" s="46" t="s">
        <v>71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5" thickBot="1" x14ac:dyDescent="0.3">
      <c r="B8" s="46" t="s">
        <v>68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5" thickBot="1" x14ac:dyDescent="0.3">
      <c r="B9" s="49" t="s">
        <v>72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5" thickBot="1" x14ac:dyDescent="0.3"/>
    <row r="11" spans="2:9" ht="19.5" thickBot="1" x14ac:dyDescent="0.35">
      <c r="B11" s="194" t="s">
        <v>73</v>
      </c>
      <c r="C11" s="195"/>
      <c r="D11" s="195"/>
      <c r="E11" s="195"/>
      <c r="F11" s="195"/>
      <c r="G11" s="195"/>
      <c r="H11" s="195"/>
      <c r="I11" s="196"/>
    </row>
    <row r="12" spans="2:9" ht="32.25" thickBot="1" x14ac:dyDescent="0.3">
      <c r="B12" s="42" t="s">
        <v>2</v>
      </c>
      <c r="C12" s="42" t="s">
        <v>0</v>
      </c>
      <c r="D12" s="42" t="s">
        <v>3</v>
      </c>
      <c r="E12" s="42" t="s">
        <v>4</v>
      </c>
      <c r="F12" s="42" t="s">
        <v>5</v>
      </c>
      <c r="G12" s="42" t="s">
        <v>6</v>
      </c>
      <c r="H12" s="42" t="s">
        <v>7</v>
      </c>
      <c r="I12" s="42" t="s">
        <v>8</v>
      </c>
    </row>
    <row r="13" spans="2:9" ht="16.5" thickBot="1" x14ac:dyDescent="0.3">
      <c r="B13" s="43" t="s">
        <v>68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5" thickBot="1" x14ac:dyDescent="0.3">
      <c r="B14" s="46" t="s">
        <v>69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5" thickBot="1" x14ac:dyDescent="0.3">
      <c r="B15" s="46" t="s">
        <v>70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5" thickBot="1" x14ac:dyDescent="0.3">
      <c r="B16" s="46" t="s">
        <v>71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5" thickBot="1" x14ac:dyDescent="0.3">
      <c r="B17" s="46" t="s">
        <v>68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5" thickBot="1" x14ac:dyDescent="0.3">
      <c r="B18" s="49" t="s">
        <v>72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5" thickBot="1" x14ac:dyDescent="0.3"/>
    <row r="20" spans="2:9" ht="19.5" thickBot="1" x14ac:dyDescent="0.35">
      <c r="B20" s="194" t="s">
        <v>74</v>
      </c>
      <c r="C20" s="195"/>
      <c r="D20" s="195"/>
      <c r="E20" s="195"/>
      <c r="F20" s="195"/>
      <c r="G20" s="195"/>
      <c r="H20" s="195"/>
      <c r="I20" s="196"/>
    </row>
    <row r="21" spans="2:9" ht="32.25" thickBot="1" x14ac:dyDescent="0.3">
      <c r="B21" s="42" t="s">
        <v>2</v>
      </c>
      <c r="C21" s="42" t="s">
        <v>0</v>
      </c>
      <c r="D21" s="42" t="s">
        <v>3</v>
      </c>
      <c r="E21" s="42" t="s">
        <v>4</v>
      </c>
      <c r="F21" s="42" t="s">
        <v>5</v>
      </c>
      <c r="G21" s="42" t="s">
        <v>6</v>
      </c>
      <c r="H21" s="42" t="s">
        <v>7</v>
      </c>
      <c r="I21" s="42" t="s">
        <v>8</v>
      </c>
    </row>
    <row r="22" spans="2:9" ht="16.5" thickBot="1" x14ac:dyDescent="0.3">
      <c r="B22" s="43" t="s">
        <v>68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5" thickBot="1" x14ac:dyDescent="0.3">
      <c r="B23" s="46" t="s">
        <v>69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5" thickBot="1" x14ac:dyDescent="0.3">
      <c r="B24" s="46" t="s">
        <v>70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5" thickBot="1" x14ac:dyDescent="0.3">
      <c r="B25" s="46" t="s">
        <v>71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5" thickBot="1" x14ac:dyDescent="0.3">
      <c r="B26" s="46" t="s">
        <v>68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5" thickBot="1" x14ac:dyDescent="0.3">
      <c r="B27" s="49" t="s">
        <v>72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E16" sqref="E16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</row>
    <row r="3" spans="1:28" x14ac:dyDescent="0.25">
      <c r="A3" s="8" t="s">
        <v>96</v>
      </c>
      <c r="B3" s="8" t="s">
        <v>37</v>
      </c>
      <c r="C3" s="2">
        <f>+Tabla5[[#This Row],[FECHA]]</f>
        <v>44949</v>
      </c>
      <c r="D3" s="29">
        <v>0.33749999999999997</v>
      </c>
      <c r="E3" s="29">
        <v>0.36805555555555558</v>
      </c>
      <c r="F3" s="29">
        <v>0.38055555555555554</v>
      </c>
      <c r="G3" s="29">
        <v>0.58333333333333337</v>
      </c>
      <c r="H3" s="29">
        <v>0.59166666666666667</v>
      </c>
      <c r="I3" s="29">
        <v>0.60902777777777783</v>
      </c>
      <c r="J3" s="27">
        <v>0.65972222222222299</v>
      </c>
      <c r="K3" s="37"/>
      <c r="L3" s="38"/>
      <c r="M3" s="38"/>
      <c r="N3" s="39" t="s">
        <v>15</v>
      </c>
      <c r="O3" s="2">
        <f>Tabla51334[[#This Row],[FECHA]]</f>
        <v>44949</v>
      </c>
      <c r="P3" s="1">
        <f>D3</f>
        <v>0.33749999999999997</v>
      </c>
      <c r="Q3" s="1">
        <f>E3-D3</f>
        <v>3.0555555555555614E-2</v>
      </c>
      <c r="R3" s="1">
        <f>F3-E3</f>
        <v>1.2499999999999956E-2</v>
      </c>
      <c r="S3" s="1">
        <f>G3-F3</f>
        <v>0.20277777777777783</v>
      </c>
      <c r="T3" s="1">
        <f>+Tabla51334[[#This Row],[ALMUERZO]]-Tabla51334[[#This Row],[TERMINO ACT. AM]]</f>
        <v>8.3333333333333037E-3</v>
      </c>
      <c r="U3" s="1">
        <f>+Tabla51334[[#This Row],[INICIO ACTIVIDADES PM]]-Tabla51334[[#This Row],[ALMUERZO]]</f>
        <v>1.736111111111116E-2</v>
      </c>
      <c r="V3" s="1">
        <f>+Tabla51334[[#This Row],[TERMINO ACTIVIDADES PM]]-Tabla51334[[#This Row],[INICIO ACTIVIDADES PM]]</f>
        <v>5.0694444444445153E-2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 x14ac:dyDescent="0.25">
      <c r="A4" s="8" t="s">
        <v>96</v>
      </c>
      <c r="B4" s="8" t="s">
        <v>26</v>
      </c>
      <c r="C4" s="2">
        <f>+Tabla5[[#This Row],[FECHA]]</f>
        <v>44950</v>
      </c>
      <c r="D4" s="29">
        <v>0.33680555555555558</v>
      </c>
      <c r="E4" s="29">
        <v>0.375</v>
      </c>
      <c r="F4" s="29">
        <v>0.38541666666666669</v>
      </c>
      <c r="G4" s="29">
        <v>0.61388888888888882</v>
      </c>
      <c r="H4" s="29">
        <v>0.62152777777777779</v>
      </c>
      <c r="I4" s="29">
        <v>0.64583333333333337</v>
      </c>
      <c r="J4" s="27">
        <v>0.65972222222222221</v>
      </c>
      <c r="K4" s="37"/>
      <c r="M4" s="3"/>
      <c r="N4" s="3" t="s">
        <v>16</v>
      </c>
      <c r="O4" s="2">
        <f>Tabla51334[[#This Row],[FECHA]]</f>
        <v>44950</v>
      </c>
      <c r="P4" s="1">
        <f>D4</f>
        <v>0.33680555555555558</v>
      </c>
      <c r="Q4" s="1">
        <f t="shared" ref="Q4:S7" si="0">E4-D4</f>
        <v>3.819444444444442E-2</v>
      </c>
      <c r="R4" s="1">
        <f t="shared" si="0"/>
        <v>1.0416666666666685E-2</v>
      </c>
      <c r="S4" s="1">
        <f t="shared" si="0"/>
        <v>0.22847222222222213</v>
      </c>
      <c r="T4" s="1">
        <f>+Tabla51334[[#This Row],[ALMUERZO]]-Tabla51334[[#This Row],[TERMINO ACT. AM]]</f>
        <v>7.6388888888889728E-3</v>
      </c>
      <c r="U4" s="1">
        <f>+Tabla51334[[#This Row],[INICIO ACTIVIDADES PM]]-Tabla51334[[#This Row],[ALMUERZO]]</f>
        <v>2.430555555555558E-2</v>
      </c>
      <c r="V4" s="1">
        <f>+Tabla51334[[#This Row],[TERMINO ACTIVIDADES PM]]-Tabla51334[[#This Row],[INICIO ACTIVIDADES PM]]</f>
        <v>1.388888888888884E-2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 x14ac:dyDescent="0.25">
      <c r="A5" s="8" t="s">
        <v>96</v>
      </c>
      <c r="B5" s="8" t="s">
        <v>27</v>
      </c>
      <c r="C5" s="2">
        <f>+Tabla5[[#This Row],[FECHA]]</f>
        <v>44951</v>
      </c>
      <c r="D5" s="29">
        <v>0.33680555555555558</v>
      </c>
      <c r="E5" s="29">
        <v>0.37013888888888885</v>
      </c>
      <c r="F5" s="29">
        <v>0.37847222222222227</v>
      </c>
      <c r="G5" s="29">
        <v>0.51527777777777783</v>
      </c>
      <c r="H5" s="29">
        <v>0.52083333333333337</v>
      </c>
      <c r="I5" s="29">
        <v>0.54513888888888895</v>
      </c>
      <c r="J5" s="27">
        <v>0.65972222222222221</v>
      </c>
      <c r="K5" s="37"/>
      <c r="M5" s="3"/>
      <c r="N5" s="3" t="s">
        <v>16</v>
      </c>
      <c r="O5" s="2">
        <f>Tabla51334[[#This Row],[FECHA]]</f>
        <v>44951</v>
      </c>
      <c r="P5" s="1">
        <f>D5</f>
        <v>0.33680555555555558</v>
      </c>
      <c r="Q5" s="1">
        <f t="shared" si="0"/>
        <v>3.333333333333327E-2</v>
      </c>
      <c r="R5" s="1">
        <f t="shared" si="0"/>
        <v>8.3333333333334147E-3</v>
      </c>
      <c r="S5" s="1">
        <f t="shared" si="0"/>
        <v>0.13680555555555557</v>
      </c>
      <c r="T5" s="1">
        <f>+Tabla51334[[#This Row],[ALMUERZO]]-Tabla51334[[#This Row],[TERMINO ACT. AM]]</f>
        <v>5.5555555555555358E-3</v>
      </c>
      <c r="U5" s="1">
        <f>+Tabla51334[[#This Row],[INICIO ACTIVIDADES PM]]-Tabla51334[[#This Row],[ALMUERZO]]</f>
        <v>2.430555555555558E-2</v>
      </c>
      <c r="V5" s="1">
        <f>+Tabla51334[[#This Row],[TERMINO ACTIVIDADES PM]]-Tabla51334[[#This Row],[INICIO ACTIVIDADES PM]]</f>
        <v>0.11458333333333326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 x14ac:dyDescent="0.25">
      <c r="A6" s="8" t="s">
        <v>96</v>
      </c>
      <c r="B6" s="8" t="s">
        <v>28</v>
      </c>
      <c r="C6" s="2">
        <f>+Tabla5[[#This Row],[FECHA]]</f>
        <v>44952</v>
      </c>
      <c r="D6" s="29">
        <v>0.34027777777777773</v>
      </c>
      <c r="E6" s="29">
        <v>0.37152777777777773</v>
      </c>
      <c r="F6" s="29">
        <v>0.38541666666666669</v>
      </c>
      <c r="G6" s="29">
        <v>0.58333333333333337</v>
      </c>
      <c r="H6" s="29">
        <v>0.59375</v>
      </c>
      <c r="I6" s="29">
        <v>0.61249999999999993</v>
      </c>
      <c r="J6" s="27">
        <v>0.65972222222222299</v>
      </c>
      <c r="K6" s="37"/>
      <c r="M6" s="3"/>
      <c r="N6" s="3" t="s">
        <v>17</v>
      </c>
      <c r="O6" s="2">
        <f>Tabla51334[[#This Row],[FECHA]]</f>
        <v>44952</v>
      </c>
      <c r="P6" s="1">
        <f>D6</f>
        <v>0.34027777777777773</v>
      </c>
      <c r="Q6" s="1">
        <f t="shared" si="0"/>
        <v>3.125E-2</v>
      </c>
      <c r="R6" s="1">
        <f t="shared" si="0"/>
        <v>1.3888888888888951E-2</v>
      </c>
      <c r="S6" s="1">
        <f t="shared" si="0"/>
        <v>0.19791666666666669</v>
      </c>
      <c r="T6" s="1">
        <f>+Tabla51334[[#This Row],[ALMUERZO]]-Tabla51334[[#This Row],[TERMINO ACT. AM]]</f>
        <v>1.041666666666663E-2</v>
      </c>
      <c r="U6" s="1">
        <f>+Tabla51334[[#This Row],[INICIO ACTIVIDADES PM]]-Tabla51334[[#This Row],[ALMUERZO]]</f>
        <v>1.8749999999999933E-2</v>
      </c>
      <c r="V6" s="1">
        <f>+Tabla51334[[#This Row],[TERMINO ACTIVIDADES PM]]-Tabla51334[[#This Row],[INICIO ACTIVIDADES PM]]</f>
        <v>4.7222222222223054E-2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 x14ac:dyDescent="0.25">
      <c r="A7" s="8" t="s">
        <v>96</v>
      </c>
      <c r="B7" s="8" t="s">
        <v>38</v>
      </c>
      <c r="C7" s="2">
        <f>+Tabla5[[#This Row],[FECHA]]</f>
        <v>44953</v>
      </c>
      <c r="D7" s="29">
        <v>0.33680555555555558</v>
      </c>
      <c r="E7" s="29">
        <v>0.36458333333333331</v>
      </c>
      <c r="F7" s="29">
        <v>0.37847222222222227</v>
      </c>
      <c r="G7" s="27">
        <v>0.51041666666666663</v>
      </c>
      <c r="H7" s="29">
        <v>0.52083333333333337</v>
      </c>
      <c r="I7" s="29">
        <v>0.54166666666666663</v>
      </c>
      <c r="J7" s="27">
        <v>0.65972222222222299</v>
      </c>
      <c r="K7" s="37"/>
      <c r="M7" s="3"/>
      <c r="N7" s="3" t="s">
        <v>18</v>
      </c>
      <c r="O7" s="2">
        <f>Tabla51334[[#This Row],[FECHA]]</f>
        <v>44953</v>
      </c>
      <c r="P7" s="1">
        <f>D7</f>
        <v>0.33680555555555558</v>
      </c>
      <c r="Q7" s="1">
        <f t="shared" si="0"/>
        <v>2.7777777777777735E-2</v>
      </c>
      <c r="R7" s="1">
        <f t="shared" si="0"/>
        <v>1.3888888888888951E-2</v>
      </c>
      <c r="S7" s="1">
        <f t="shared" si="0"/>
        <v>0.13194444444444436</v>
      </c>
      <c r="T7" s="1">
        <f>+Tabla51334[[#This Row],[ALMUERZO]]-Tabla51334[[#This Row],[TERMINO ACT. AM]]</f>
        <v>1.0416666666666741E-2</v>
      </c>
      <c r="U7" s="1">
        <f>+Tabla51334[[#This Row],[INICIO ACTIVIDADES PM]]-Tabla51334[[#This Row],[ALMUERZO]]</f>
        <v>2.0833333333333259E-2</v>
      </c>
      <c r="V7" s="1">
        <f>+Tabla51334[[#This Row],[TERMINO ACTIVIDADES PM]]-Tabla51334[[#This Row],[INICIO ACTIVIDADES PM]]</f>
        <v>0.11805555555555636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 x14ac:dyDescent="0.25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 x14ac:dyDescent="0.25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 x14ac:dyDescent="0.25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 x14ac:dyDescent="0.25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79</v>
      </c>
      <c r="H15" s="20"/>
      <c r="I15" s="17"/>
      <c r="J15" s="17"/>
      <c r="K15" s="27"/>
      <c r="T15" s="1"/>
    </row>
    <row r="16" spans="1:28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0.25347222222222299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0.24236111111111097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0.25138888888888883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0.24513888888888974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0.25000000000000072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0.24847222222222265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0.9938888888888906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104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8:20" x14ac:dyDescent="0.25">
      <c r="T33" s="1"/>
    </row>
    <row r="34" spans="8:20" x14ac:dyDescent="0.25">
      <c r="T34" s="1"/>
    </row>
    <row r="35" spans="8:20" x14ac:dyDescent="0.25">
      <c r="T35" s="1"/>
    </row>
    <row r="36" spans="8:20" x14ac:dyDescent="0.25">
      <c r="T36" s="1"/>
    </row>
    <row r="37" spans="8:20" x14ac:dyDescent="0.25">
      <c r="T37" s="1"/>
    </row>
    <row r="38" spans="8:20" x14ac:dyDescent="0.25">
      <c r="T38" s="1"/>
    </row>
    <row r="39" spans="8:20" x14ac:dyDescent="0.25">
      <c r="T39" s="1"/>
    </row>
    <row r="40" spans="8:20" x14ac:dyDescent="0.25">
      <c r="T40" s="1"/>
    </row>
    <row r="41" spans="8:20" x14ac:dyDescent="0.25">
      <c r="T41" s="1"/>
    </row>
    <row r="42" spans="8:20" x14ac:dyDescent="0.25">
      <c r="H42" t="s">
        <v>101</v>
      </c>
      <c r="T42" s="1"/>
    </row>
    <row r="43" spans="8:20" x14ac:dyDescent="0.25">
      <c r="T43" s="1"/>
    </row>
    <row r="44" spans="8:20" x14ac:dyDescent="0.25">
      <c r="T44" s="1"/>
    </row>
    <row r="45" spans="8:20" x14ac:dyDescent="0.25">
      <c r="T45" s="1"/>
    </row>
    <row r="46" spans="8:20" x14ac:dyDescent="0.25">
      <c r="T46" s="1"/>
    </row>
    <row r="47" spans="8:20" x14ac:dyDescent="0.25">
      <c r="T47" s="1"/>
    </row>
    <row r="48" spans="8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I5" sqref="I5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</row>
    <row r="3" spans="1:24" x14ac:dyDescent="0.25">
      <c r="A3" s="8" t="s">
        <v>89</v>
      </c>
      <c r="B3" s="8" t="s">
        <v>37</v>
      </c>
      <c r="C3" s="2">
        <f>+Tabla5[[#This Row],[FECHA]]</f>
        <v>44949</v>
      </c>
      <c r="D3" s="29">
        <v>0.34375</v>
      </c>
      <c r="E3" s="29">
        <v>0.36458333333333331</v>
      </c>
      <c r="F3" s="29">
        <v>0.375</v>
      </c>
      <c r="G3" s="29">
        <v>0.61111111111111105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Tabla536[[#This Row],[FECHA]]</f>
        <v>44949</v>
      </c>
      <c r="P3" s="1">
        <f>D3</f>
        <v>0.34375</v>
      </c>
      <c r="Q3" s="1">
        <f>E3-D3</f>
        <v>2.0833333333333315E-2</v>
      </c>
      <c r="R3" s="1">
        <f>F3-E3</f>
        <v>1.0416666666666685E-2</v>
      </c>
      <c r="S3" s="1">
        <f>G3-F3</f>
        <v>0.23611111111111105</v>
      </c>
      <c r="T3" s="1">
        <f>+Tabla536[[#This Row],[ALMUERZO]]-Tabla536[[#This Row],[TERMINO ACT. AM]]</f>
        <v>3.4722222222223209E-3</v>
      </c>
      <c r="U3" s="1">
        <f>+Tabla536[[#This Row],[INICIO ACTIVIDADES PM]]-Tabla536[[#This Row],[ALMUERZO]]</f>
        <v>2.430555555555558E-2</v>
      </c>
      <c r="V3" s="1">
        <f>+Tabla536[[#This Row],[TERMINO ACTIVIDADES PM]]-Tabla536[[#This Row],[INICIO ACTIVIDADES PM]]</f>
        <v>2.0833333333333259E-2</v>
      </c>
      <c r="W3" s="1">
        <f>+$D$1</f>
        <v>0.33333333333333331</v>
      </c>
      <c r="X3" s="1">
        <f>+$E$1</f>
        <v>0.35416666666666669</v>
      </c>
    </row>
    <row r="4" spans="1:24" x14ac:dyDescent="0.25">
      <c r="A4" s="8" t="s">
        <v>89</v>
      </c>
      <c r="B4" s="8" t="s">
        <v>26</v>
      </c>
      <c r="C4" s="2">
        <f>+Tabla5[[#This Row],[FECHA]]</f>
        <v>44950</v>
      </c>
      <c r="D4" s="29">
        <v>0.34027777777777773</v>
      </c>
      <c r="E4" s="29">
        <v>0.37152777777777773</v>
      </c>
      <c r="F4" s="29">
        <v>0.37847222222222227</v>
      </c>
      <c r="G4" s="29">
        <v>0.60763888888888895</v>
      </c>
      <c r="H4" s="29">
        <v>0.61805555555555558</v>
      </c>
      <c r="I4" s="29">
        <v>0.63888888888888895</v>
      </c>
      <c r="J4" s="27">
        <v>0.65972222222222221</v>
      </c>
      <c r="K4" s="37"/>
      <c r="M4" s="3"/>
      <c r="N4" s="3" t="s">
        <v>16</v>
      </c>
      <c r="O4" s="2">
        <f>Tabla536[[#This Row],[FECHA]]</f>
        <v>44950</v>
      </c>
      <c r="P4" s="1">
        <f>D4</f>
        <v>0.34027777777777773</v>
      </c>
      <c r="Q4" s="1">
        <f t="shared" ref="Q4:S7" si="0">E4-D4</f>
        <v>3.125E-2</v>
      </c>
      <c r="R4" s="1">
        <f t="shared" si="0"/>
        <v>6.9444444444445308E-3</v>
      </c>
      <c r="S4" s="1">
        <f t="shared" si="0"/>
        <v>0.22916666666666669</v>
      </c>
      <c r="T4" s="1">
        <f>+Tabla536[[#This Row],[ALMUERZO]]-Tabla536[[#This Row],[TERMINO ACT. AM]]</f>
        <v>1.041666666666663E-2</v>
      </c>
      <c r="U4" s="1">
        <f>+Tabla536[[#This Row],[INICIO ACTIVIDADES PM]]-Tabla536[[#This Row],[ALMUERZO]]</f>
        <v>2.083333333333337E-2</v>
      </c>
      <c r="V4" s="1">
        <f>+Tabla536[[#This Row],[TERMINO ACTIVIDADES PM]]-Tabla536[[#This Row],[INICIO ACTIVIDADES PM]]</f>
        <v>2.0833333333333259E-2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 x14ac:dyDescent="0.25">
      <c r="A5" s="8" t="s">
        <v>89</v>
      </c>
      <c r="B5" s="8" t="s">
        <v>27</v>
      </c>
      <c r="C5" s="2">
        <f>+Tabla5[[#This Row],[FECHA]]</f>
        <v>44951</v>
      </c>
      <c r="D5" s="29">
        <v>0.33680555555555558</v>
      </c>
      <c r="E5" s="29">
        <v>0.36458333333333331</v>
      </c>
      <c r="F5" s="29">
        <v>0.37638888888888888</v>
      </c>
      <c r="G5" s="29">
        <v>0.61458333333333337</v>
      </c>
      <c r="H5" s="29">
        <v>0.62152777777777779</v>
      </c>
      <c r="I5" s="29">
        <v>0.64583333333333337</v>
      </c>
      <c r="J5" s="27">
        <v>0.65972222222222221</v>
      </c>
      <c r="K5" s="37"/>
      <c r="M5" s="3"/>
      <c r="N5" s="3" t="s">
        <v>16</v>
      </c>
      <c r="O5" s="2">
        <f>Tabla536[[#This Row],[FECHA]]</f>
        <v>44951</v>
      </c>
      <c r="P5" s="1">
        <f>D5</f>
        <v>0.33680555555555558</v>
      </c>
      <c r="Q5" s="1">
        <f t="shared" si="0"/>
        <v>2.7777777777777735E-2</v>
      </c>
      <c r="R5" s="1">
        <f t="shared" si="0"/>
        <v>1.1805555555555569E-2</v>
      </c>
      <c r="S5" s="1">
        <f t="shared" si="0"/>
        <v>0.23819444444444449</v>
      </c>
      <c r="T5" s="1">
        <f>+Tabla536[[#This Row],[ALMUERZO]]-Tabla536[[#This Row],[TERMINO ACT. AM]]</f>
        <v>6.9444444444444198E-3</v>
      </c>
      <c r="U5" s="1">
        <f>+Tabla536[[#This Row],[INICIO ACTIVIDADES PM]]-Tabla536[[#This Row],[ALMUERZO]]</f>
        <v>2.430555555555558E-2</v>
      </c>
      <c r="V5" s="1">
        <f>+Tabla536[[#This Row],[TERMINO ACTIVIDADES PM]]-Tabla536[[#This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</row>
    <row r="6" spans="1:24" x14ac:dyDescent="0.25">
      <c r="A6" s="8" t="s">
        <v>89</v>
      </c>
      <c r="B6" s="8" t="s">
        <v>28</v>
      </c>
      <c r="C6" s="2">
        <f>+Tabla5[[#This Row],[FECHA]]</f>
        <v>44952</v>
      </c>
      <c r="D6" s="29">
        <v>0.34027777777777773</v>
      </c>
      <c r="E6" s="29">
        <v>0.36458333333333331</v>
      </c>
      <c r="F6" s="29">
        <v>0.375</v>
      </c>
      <c r="G6" s="29">
        <v>0.60416666666666663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17</v>
      </c>
      <c r="O6" s="2">
        <f>Tabla536[[#This Row],[FECHA]]</f>
        <v>44952</v>
      </c>
      <c r="P6" s="1">
        <f>D6</f>
        <v>0.34027777777777773</v>
      </c>
      <c r="Q6" s="1">
        <f t="shared" si="0"/>
        <v>2.430555555555558E-2</v>
      </c>
      <c r="R6" s="1">
        <f t="shared" si="0"/>
        <v>1.0416666666666685E-2</v>
      </c>
      <c r="S6" s="1">
        <f t="shared" si="0"/>
        <v>0.22916666666666663</v>
      </c>
      <c r="T6" s="1">
        <f>+Tabla536[[#This Row],[ALMUERZO]]-Tabla536[[#This Row],[TERMINO ACT. AM]]</f>
        <v>1.0416666666666741E-2</v>
      </c>
      <c r="U6" s="1">
        <f>+Tabla536[[#This Row],[INICIO ACTIVIDADES PM]]-Tabla536[[#This Row],[ALMUERZO]]</f>
        <v>2.430555555555558E-2</v>
      </c>
      <c r="V6" s="1">
        <f>+Tabla536[[#This Row],[TERMINO ACTIVIDADES PM]]-Tabla536[[#This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</row>
    <row r="7" spans="1:24" x14ac:dyDescent="0.25">
      <c r="A7" s="8" t="s">
        <v>89</v>
      </c>
      <c r="B7" s="8" t="s">
        <v>38</v>
      </c>
      <c r="C7" s="2">
        <f>+Tabla5[[#This Row],[FECHA]]</f>
        <v>44953</v>
      </c>
      <c r="D7" s="29">
        <v>0.34375</v>
      </c>
      <c r="E7" s="29">
        <v>0.36805555555555558</v>
      </c>
      <c r="F7" s="29">
        <v>0.37986111111111115</v>
      </c>
      <c r="G7" s="29">
        <v>0.60416666666666663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18</v>
      </c>
      <c r="O7" s="2">
        <f>Tabla536[[#This Row],[FECHA]]</f>
        <v>44953</v>
      </c>
      <c r="P7" s="1">
        <f>D7</f>
        <v>0.34375</v>
      </c>
      <c r="Q7" s="1">
        <f t="shared" si="0"/>
        <v>2.430555555555558E-2</v>
      </c>
      <c r="R7" s="1">
        <f t="shared" si="0"/>
        <v>1.1805555555555569E-2</v>
      </c>
      <c r="S7" s="1">
        <f t="shared" si="0"/>
        <v>0.22430555555555548</v>
      </c>
      <c r="T7" s="1">
        <f>+Tabla536[[#This Row],[ALMUERZO]]-Tabla536[[#This Row],[TERMINO ACT. AM]]</f>
        <v>6.9444444444444198E-3</v>
      </c>
      <c r="U7" s="1">
        <f>+Tabla536[[#This Row],[INICIO ACTIVIDADES PM]]-Tabla536[[#This Row],[ALMUERZO]]</f>
        <v>2.430555555555558E-2</v>
      </c>
      <c r="V7" s="1">
        <f>+Tabla536[[#This Row],[TERMINO ACTIVIDADES PM]]-Tabla536[[#This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</row>
    <row r="8" spans="1:24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57</v>
      </c>
      <c r="H15" s="20"/>
      <c r="I15" s="17"/>
      <c r="J15" s="17"/>
      <c r="K15" s="27"/>
    </row>
    <row r="16" spans="1:24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0.25694444444444431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0.24999999999999994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0.25208333333333333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0.24999999999999989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0.24861111111111106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0.25152777777777768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17"/>
      <c r="B23" s="17"/>
      <c r="C23" s="17"/>
      <c r="D23" s="17"/>
      <c r="E23" s="17"/>
      <c r="F23" s="23" t="s">
        <v>41</v>
      </c>
      <c r="G23" s="36">
        <f>G21/G22</f>
        <v>1.0061111111111107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58" t="s">
        <v>105</v>
      </c>
      <c r="I28" s="159" t="s">
        <v>103</v>
      </c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G5" sqref="G5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97</v>
      </c>
      <c r="B3" s="8" t="s">
        <v>37</v>
      </c>
      <c r="C3" s="2">
        <f>+Tabla5[[#This Row],[FECHA]]</f>
        <v>44949</v>
      </c>
      <c r="D3" s="29">
        <v>0.34027777777777773</v>
      </c>
      <c r="E3" s="29">
        <v>0.36458333333333331</v>
      </c>
      <c r="F3" s="29">
        <v>0.37152777777777773</v>
      </c>
      <c r="G3" s="29">
        <v>0.60416666666666663</v>
      </c>
      <c r="H3" s="29">
        <v>0.61458333333333337</v>
      </c>
      <c r="I3" s="29">
        <v>0.63888888888888895</v>
      </c>
      <c r="J3" s="27">
        <v>0.65972222222222221</v>
      </c>
      <c r="K3" s="37"/>
      <c r="L3" s="38"/>
      <c r="M3" s="38"/>
      <c r="N3" s="39" t="s">
        <v>15</v>
      </c>
      <c r="O3" s="2">
        <f>Tabla537[[#This Row],[FECHA]]</f>
        <v>44949</v>
      </c>
      <c r="P3" s="1">
        <f>D3</f>
        <v>0.34027777777777773</v>
      </c>
      <c r="Q3" s="1">
        <f>E3-D3</f>
        <v>2.430555555555558E-2</v>
      </c>
      <c r="R3" s="1">
        <f>F3-E3</f>
        <v>6.9444444444444198E-3</v>
      </c>
      <c r="S3" s="1">
        <f>G3-F3</f>
        <v>0.2326388888888889</v>
      </c>
      <c r="T3" s="1">
        <f>+Tabla537[[#This Row],[ALMUERZO]]-Tabla537[[#This Row],[TERMINO ACT. AM]]</f>
        <v>1.0416666666666741E-2</v>
      </c>
      <c r="U3" s="1">
        <f>+Tabla537[[#This Row],[INICIO ACTIVIDADES PM]]-Tabla537[[#This Row],[ALMUERZO]]</f>
        <v>2.430555555555558E-2</v>
      </c>
      <c r="V3" s="1">
        <f>+Tabla537[[#This Row],[TERMINO ACTIVIDADES PM]]-Tabla537[[#This Row],[INICIO ACTIVIDADES PM]]</f>
        <v>2.0833333333333259E-2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97</v>
      </c>
      <c r="B4" s="8" t="s">
        <v>26</v>
      </c>
      <c r="C4" s="2">
        <f>+Tabla5[[#This Row],[FECHA]]</f>
        <v>44950</v>
      </c>
      <c r="D4" s="29">
        <v>0.34027777777777773</v>
      </c>
      <c r="E4" s="29">
        <v>0.37152777777777773</v>
      </c>
      <c r="F4" s="29">
        <v>0.375</v>
      </c>
      <c r="G4" s="29">
        <v>0.61805555555555558</v>
      </c>
      <c r="H4" s="29">
        <v>0.61805555555555558</v>
      </c>
      <c r="I4" s="29">
        <v>0.64027777777777783</v>
      </c>
      <c r="J4" s="27">
        <v>0.65972222222222221</v>
      </c>
      <c r="K4" s="37"/>
      <c r="M4" s="3"/>
      <c r="N4" s="3" t="s">
        <v>16</v>
      </c>
      <c r="O4" s="2">
        <f>Tabla537[[#This Row],[FECHA]]</f>
        <v>44950</v>
      </c>
      <c r="P4" s="1">
        <f>D4</f>
        <v>0.34027777777777773</v>
      </c>
      <c r="Q4" s="1">
        <f t="shared" ref="Q4:S7" si="0">E4-D4</f>
        <v>3.125E-2</v>
      </c>
      <c r="R4" s="1">
        <f t="shared" si="0"/>
        <v>3.4722222222222654E-3</v>
      </c>
      <c r="S4" s="1">
        <f t="shared" si="0"/>
        <v>0.24305555555555558</v>
      </c>
      <c r="T4" s="1">
        <f>+Tabla537[[#This Row],[ALMUERZO]]-Tabla537[[#This Row],[TERMINO ACT. AM]]</f>
        <v>0</v>
      </c>
      <c r="U4" s="1">
        <f>+Tabla537[[#This Row],[INICIO ACTIVIDADES PM]]-Tabla537[[#This Row],[ALMUERZO]]</f>
        <v>2.2222222222222254E-2</v>
      </c>
      <c r="V4" s="1">
        <f>+Tabla537[[#This Row],[TERMINO ACTIVIDADES PM]]-Tabla537[[#This Row],[INICIO ACTIVIDADES PM]]</f>
        <v>1.9444444444444375E-2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97</v>
      </c>
      <c r="B5" s="8" t="s">
        <v>27</v>
      </c>
      <c r="C5" s="2">
        <f>+Tabla5[[#This Row],[FECHA]]</f>
        <v>44951</v>
      </c>
      <c r="D5" s="29">
        <v>0.33680555555555558</v>
      </c>
      <c r="E5" s="29">
        <v>0.36458333333333331</v>
      </c>
      <c r="F5" s="29">
        <v>0.37777777777777777</v>
      </c>
      <c r="G5" s="29">
        <v>0.61111111111111105</v>
      </c>
      <c r="H5" s="29">
        <v>0.62152777777777779</v>
      </c>
      <c r="I5" s="29">
        <v>0.64444444444444449</v>
      </c>
      <c r="J5" s="27">
        <v>0.65972222222222221</v>
      </c>
      <c r="K5" s="37"/>
      <c r="M5" s="3"/>
      <c r="N5" s="3" t="s">
        <v>16</v>
      </c>
      <c r="O5" s="2">
        <f>Tabla537[[#This Row],[FECHA]]</f>
        <v>44951</v>
      </c>
      <c r="P5" s="1">
        <f>D5</f>
        <v>0.33680555555555558</v>
      </c>
      <c r="Q5" s="1">
        <f t="shared" si="0"/>
        <v>2.7777777777777735E-2</v>
      </c>
      <c r="R5" s="1">
        <f t="shared" si="0"/>
        <v>1.3194444444444453E-2</v>
      </c>
      <c r="S5" s="1">
        <f t="shared" si="0"/>
        <v>0.23333333333333328</v>
      </c>
      <c r="T5" s="1">
        <f>+Tabla537[[#This Row],[ALMUERZO]]-Tabla537[[#This Row],[TERMINO ACT. AM]]</f>
        <v>1.0416666666666741E-2</v>
      </c>
      <c r="U5" s="1">
        <f>+Tabla537[[#This Row],[INICIO ACTIVIDADES PM]]-Tabla537[[#This Row],[ALMUERZO]]</f>
        <v>2.2916666666666696E-2</v>
      </c>
      <c r="V5" s="1">
        <f>+Tabla537[[#This Row],[TERMINO ACTIVIDADES PM]]-Tabla537[[#This Row],[INICIO ACTIVIDADES PM]]</f>
        <v>1.5277777777777724E-2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97</v>
      </c>
      <c r="B6" s="8" t="s">
        <v>28</v>
      </c>
      <c r="C6" s="2">
        <f>+Tabla5[[#This Row],[FECHA]]</f>
        <v>44952</v>
      </c>
      <c r="D6" s="29">
        <v>0.34027777777777773</v>
      </c>
      <c r="E6" s="29">
        <v>0.36458333333333331</v>
      </c>
      <c r="F6" s="29">
        <v>0.37986111111111115</v>
      </c>
      <c r="G6" s="29">
        <v>0.61111111111111105</v>
      </c>
      <c r="H6" s="29">
        <v>0.61458333333333337</v>
      </c>
      <c r="I6" s="29">
        <v>0.63888888888888895</v>
      </c>
      <c r="J6" s="27">
        <v>0.65972222222222221</v>
      </c>
      <c r="K6" s="37"/>
      <c r="M6" s="3"/>
      <c r="N6" s="3" t="s">
        <v>17</v>
      </c>
      <c r="O6" s="2">
        <f>Tabla537[[#This Row],[FECHA]]</f>
        <v>44952</v>
      </c>
      <c r="P6" s="1">
        <f>D6</f>
        <v>0.34027777777777773</v>
      </c>
      <c r="Q6" s="1">
        <f t="shared" si="0"/>
        <v>2.430555555555558E-2</v>
      </c>
      <c r="R6" s="1">
        <f t="shared" si="0"/>
        <v>1.5277777777777835E-2</v>
      </c>
      <c r="S6" s="1">
        <f t="shared" si="0"/>
        <v>0.2312499999999999</v>
      </c>
      <c r="T6" s="1">
        <f>+Tabla537[[#This Row],[ALMUERZO]]-Tabla537[[#This Row],[TERMINO ACT. AM]]</f>
        <v>3.4722222222223209E-3</v>
      </c>
      <c r="U6" s="1">
        <f>+Tabla537[[#This Row],[INICIO ACTIVIDADES PM]]-Tabla537[[#This Row],[ALMUERZO]]</f>
        <v>2.430555555555558E-2</v>
      </c>
      <c r="V6" s="1">
        <f>+Tabla537[[#This Row],[TERMINO ACTIVIDADES PM]]-Tabla537[[#This Row],[INICIO ACTIVIDADES PM]]</f>
        <v>2.0833333333333259E-2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97</v>
      </c>
      <c r="B7" s="8" t="s">
        <v>38</v>
      </c>
      <c r="C7" s="2">
        <f>+Tabla5[[#This Row],[FECHA]]</f>
        <v>44953</v>
      </c>
      <c r="D7" s="29">
        <v>0.34375</v>
      </c>
      <c r="E7" s="29">
        <v>0.36805555555555558</v>
      </c>
      <c r="F7" s="29">
        <v>0.37847222222222227</v>
      </c>
      <c r="G7" s="29">
        <v>0.60763888888888895</v>
      </c>
      <c r="H7" s="29">
        <v>0.61111111111111105</v>
      </c>
      <c r="I7" s="29">
        <v>0.63541666666666663</v>
      </c>
      <c r="J7" s="27">
        <v>0.65972222222222221</v>
      </c>
      <c r="K7" s="37"/>
      <c r="M7" s="3"/>
      <c r="N7" s="3" t="s">
        <v>18</v>
      </c>
      <c r="O7" s="2">
        <f>Tabla537[[#This Row],[FECHA]]</f>
        <v>44953</v>
      </c>
      <c r="P7" s="1">
        <f>D7</f>
        <v>0.34375</v>
      </c>
      <c r="Q7" s="1">
        <f t="shared" si="0"/>
        <v>2.430555555555558E-2</v>
      </c>
      <c r="R7" s="1">
        <f t="shared" si="0"/>
        <v>1.0416666666666685E-2</v>
      </c>
      <c r="S7" s="1">
        <f t="shared" si="0"/>
        <v>0.22916666666666669</v>
      </c>
      <c r="T7" s="1">
        <f>+Tabla537[[#This Row],[ALMUERZO]]-Tabla537[[#This Row],[TERMINO ACT. AM]]</f>
        <v>3.4722222222220989E-3</v>
      </c>
      <c r="U7" s="1">
        <f>+Tabla537[[#This Row],[INICIO ACTIVIDADES PM]]-Tabla537[[#This Row],[ALMUERZO]]</f>
        <v>2.430555555555558E-2</v>
      </c>
      <c r="V7" s="1">
        <f>+Tabla537[[#This Row],[TERMINO ACTIVIDADES PM]]-Tabla537[[#This Row],[INICIO ACTIVIDADES PM]]</f>
        <v>2.430555555555558E-2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102</v>
      </c>
      <c r="G15" s="20" t="s">
        <v>80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0.25347222222222215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0.26249999999999996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0.24861111111111101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0.25208333333333316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0.25347222222222227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0.25402777777777769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1.0161111111111107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58" t="s">
        <v>105</v>
      </c>
      <c r="I28" s="159" t="s">
        <v>104</v>
      </c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0"/>
      <c r="T30" s="1"/>
    </row>
    <row r="31" spans="1:20" ht="15.6" customHeight="1" x14ac:dyDescent="0.25">
      <c r="H31" s="158"/>
      <c r="I31" s="161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F8" sqref="F8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98</v>
      </c>
      <c r="B3" s="8" t="s">
        <v>37</v>
      </c>
      <c r="C3" s="2">
        <f>+Tabla5[[#This Row],[FECHA]]</f>
        <v>44949</v>
      </c>
      <c r="D3" s="29">
        <v>0.33680555555555558</v>
      </c>
      <c r="E3" s="29">
        <v>0.34375</v>
      </c>
      <c r="F3" s="29">
        <v>0.35069444444444442</v>
      </c>
      <c r="G3" s="29">
        <v>0.54166666666666663</v>
      </c>
      <c r="H3" s="29">
        <v>0.54861111111111105</v>
      </c>
      <c r="I3" s="29">
        <v>0.57986111111111105</v>
      </c>
      <c r="J3" s="27">
        <v>0.83333333333333337</v>
      </c>
      <c r="K3" s="37" t="s">
        <v>93</v>
      </c>
      <c r="L3" s="38"/>
      <c r="M3" s="38"/>
      <c r="N3" s="39" t="s">
        <v>15</v>
      </c>
      <c r="O3" s="2">
        <f>Tabla538[[#This Row],[FECHA]]</f>
        <v>44949</v>
      </c>
      <c r="P3" s="1">
        <f>D3</f>
        <v>0.33680555555555558</v>
      </c>
      <c r="Q3" s="1">
        <f>E3-D3</f>
        <v>6.9444444444444198E-3</v>
      </c>
      <c r="R3" s="1">
        <f>F3-E3</f>
        <v>6.9444444444444198E-3</v>
      </c>
      <c r="S3" s="1">
        <f>G3-F3</f>
        <v>0.19097222222222221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3.125E-2</v>
      </c>
      <c r="V3" s="1">
        <f>+Tabla538[[#This Row],[TERMINO ACTIVIDADES PM]]-Tabla538[[#This Row],[INICIO ACTIVIDADES PM]]</f>
        <v>0.25347222222222232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98</v>
      </c>
      <c r="B4" s="8" t="s">
        <v>26</v>
      </c>
      <c r="C4" s="2">
        <f>+Tabla5[[#This Row],[FECHA]]</f>
        <v>44950</v>
      </c>
      <c r="D4" s="29">
        <v>0.33680555555555558</v>
      </c>
      <c r="E4" s="29">
        <v>0.34027777777777773</v>
      </c>
      <c r="F4" s="29">
        <v>0.3576388888888889</v>
      </c>
      <c r="G4" s="29">
        <v>0.53819444444444442</v>
      </c>
      <c r="H4" s="29">
        <v>0.54722222222222217</v>
      </c>
      <c r="I4" s="29">
        <v>0.57638888888888895</v>
      </c>
      <c r="J4" s="27">
        <v>0.83333333333333337</v>
      </c>
      <c r="K4" s="37" t="s">
        <v>93</v>
      </c>
      <c r="M4" s="3"/>
      <c r="N4" s="3" t="s">
        <v>16</v>
      </c>
      <c r="O4" s="2">
        <f>Tabla538[[#This Row],[FECHA]]</f>
        <v>44950</v>
      </c>
      <c r="P4" s="1">
        <f>D4</f>
        <v>0.33680555555555558</v>
      </c>
      <c r="Q4" s="1">
        <f t="shared" ref="Q4:S7" si="0">E4-D4</f>
        <v>3.4722222222221544E-3</v>
      </c>
      <c r="R4" s="1">
        <f t="shared" si="0"/>
        <v>1.736111111111116E-2</v>
      </c>
      <c r="S4" s="1">
        <f t="shared" si="0"/>
        <v>0.18055555555555552</v>
      </c>
      <c r="T4" s="1">
        <f>+Tabla538[[#This Row],[ALMUERZO]]-Tabla538[[#This Row],[TERMINO ACT. AM]]</f>
        <v>9.0277777777777457E-3</v>
      </c>
      <c r="U4" s="1">
        <f>+Tabla538[[#This Row],[INICIO ACTIVIDADES PM]]-Tabla538[[#This Row],[ALMUERZO]]</f>
        <v>2.9166666666666785E-2</v>
      </c>
      <c r="V4" s="1">
        <f>+Tabla538[[#This Row],[TERMINO ACTIVIDADES PM]]-Tabla538[[#This Row],[INICIO ACTIVIDADES PM]]</f>
        <v>0.25694444444444442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98</v>
      </c>
      <c r="B5" s="8" t="s">
        <v>27</v>
      </c>
      <c r="C5" s="2">
        <f>+Tabla5[[#This Row],[FECHA]]</f>
        <v>44951</v>
      </c>
      <c r="D5" s="29">
        <v>0.33680555555555558</v>
      </c>
      <c r="E5" s="29">
        <v>0.34375</v>
      </c>
      <c r="F5" s="29">
        <v>0.35069444444444442</v>
      </c>
      <c r="G5" s="29">
        <v>0.54166666666666663</v>
      </c>
      <c r="H5" s="29">
        <v>0.54861111111111105</v>
      </c>
      <c r="I5" s="29">
        <v>0.57291666666666663</v>
      </c>
      <c r="J5" s="27">
        <v>0.83333333333333304</v>
      </c>
      <c r="K5" s="37" t="s">
        <v>93</v>
      </c>
      <c r="M5" s="3"/>
      <c r="N5" s="3" t="s">
        <v>16</v>
      </c>
      <c r="O5" s="2">
        <f>Tabla538[[#This Row],[FECHA]]</f>
        <v>44951</v>
      </c>
      <c r="P5" s="1">
        <f>D5</f>
        <v>0.33680555555555558</v>
      </c>
      <c r="Q5" s="1">
        <f t="shared" si="0"/>
        <v>6.9444444444444198E-3</v>
      </c>
      <c r="R5" s="1">
        <f t="shared" si="0"/>
        <v>6.9444444444444198E-3</v>
      </c>
      <c r="S5" s="1">
        <f t="shared" si="0"/>
        <v>0.19097222222222221</v>
      </c>
      <c r="T5" s="1">
        <f>+Tabla538[[#This Row],[ALMUERZO]]-Tabla538[[#This Row],[TERMINO ACT. AM]]</f>
        <v>6.9444444444444198E-3</v>
      </c>
      <c r="U5" s="1">
        <f>+Tabla538[[#This Row],[INICIO ACTIVIDADES PM]]-Tabla538[[#This Row],[ALMUERZO]]</f>
        <v>2.430555555555558E-2</v>
      </c>
      <c r="V5" s="1">
        <f>+Tabla538[[#This Row],[TERMINO ACTIVIDADES PM]]-Tabla538[[#This Row],[INICIO ACTIVIDADES PM]]</f>
        <v>0.26041666666666641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98</v>
      </c>
      <c r="B6" s="8" t="s">
        <v>28</v>
      </c>
      <c r="C6" s="2">
        <f>+Tabla5[[#This Row],[FECHA]]</f>
        <v>44952</v>
      </c>
      <c r="D6" s="29">
        <v>0.33680555555555602</v>
      </c>
      <c r="E6" s="29">
        <v>0.34375</v>
      </c>
      <c r="F6" s="29">
        <v>0.35416666666666669</v>
      </c>
      <c r="G6" s="29">
        <v>0.53125</v>
      </c>
      <c r="H6" s="29">
        <v>0.54097222222222219</v>
      </c>
      <c r="I6" s="29">
        <v>0.57291666666666663</v>
      </c>
      <c r="J6" s="27">
        <v>0.83333333333333304</v>
      </c>
      <c r="K6" s="37" t="s">
        <v>93</v>
      </c>
      <c r="M6" s="3"/>
      <c r="N6" s="3" t="s">
        <v>17</v>
      </c>
      <c r="O6" s="2">
        <f>Tabla538[[#This Row],[FECHA]]</f>
        <v>44952</v>
      </c>
      <c r="P6" s="1">
        <f>D6</f>
        <v>0.33680555555555602</v>
      </c>
      <c r="Q6" s="1">
        <f t="shared" si="0"/>
        <v>6.9444444444439757E-3</v>
      </c>
      <c r="R6" s="1">
        <f t="shared" si="0"/>
        <v>1.0416666666666685E-2</v>
      </c>
      <c r="S6" s="1">
        <f t="shared" si="0"/>
        <v>0.17708333333333331</v>
      </c>
      <c r="T6" s="1">
        <f>+Tabla538[[#This Row],[ALMUERZO]]-Tabla538[[#This Row],[TERMINO ACT. AM]]</f>
        <v>9.7222222222221877E-3</v>
      </c>
      <c r="U6" s="1">
        <f>+Tabla538[[#This Row],[INICIO ACTIVIDADES PM]]-Tabla538[[#This Row],[ALMUERZO]]</f>
        <v>3.1944444444444442E-2</v>
      </c>
      <c r="V6" s="1">
        <f>+Tabla538[[#This Row],[TERMINO ACTIVIDADES PM]]-Tabla538[[#This Row],[INICIO ACTIVIDADES PM]]</f>
        <v>0.26041666666666641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98</v>
      </c>
      <c r="B7" s="8" t="s">
        <v>38</v>
      </c>
      <c r="C7" s="2">
        <f>+Tabla5[[#This Row],[FECHA]]</f>
        <v>44953</v>
      </c>
      <c r="D7" s="29">
        <v>0.33680555555555602</v>
      </c>
      <c r="E7" s="29">
        <v>0.34027777777777773</v>
      </c>
      <c r="F7" s="29">
        <v>0.3520833333333333</v>
      </c>
      <c r="G7" s="29">
        <v>0.53125</v>
      </c>
      <c r="H7" s="29">
        <v>0.54652777777777783</v>
      </c>
      <c r="I7" s="29">
        <v>0.57638888888888895</v>
      </c>
      <c r="J7" s="27">
        <v>0.83333333333333304</v>
      </c>
      <c r="K7" s="37" t="s">
        <v>93</v>
      </c>
      <c r="M7" s="3"/>
      <c r="N7" s="3" t="s">
        <v>18</v>
      </c>
      <c r="O7" s="2">
        <f>Tabla538[[#This Row],[FECHA]]</f>
        <v>44953</v>
      </c>
      <c r="P7" s="1">
        <f>D7</f>
        <v>0.33680555555555602</v>
      </c>
      <c r="Q7" s="1">
        <f t="shared" si="0"/>
        <v>3.4722222222217103E-3</v>
      </c>
      <c r="R7" s="1">
        <f t="shared" si="0"/>
        <v>1.1805555555555569E-2</v>
      </c>
      <c r="S7" s="1">
        <f t="shared" si="0"/>
        <v>0.1791666666666667</v>
      </c>
      <c r="T7" s="1">
        <f>+Tabla538[[#This Row],[ALMUERZO]]-Tabla538[[#This Row],[TERMINO ACT. AM]]</f>
        <v>1.5277777777777835E-2</v>
      </c>
      <c r="U7" s="1">
        <f>+Tabla538[[#This Row],[INICIO ACTIVIDADES PM]]-Tabla538[[#This Row],[ALMUERZO]]</f>
        <v>2.9861111111111116E-2</v>
      </c>
      <c r="V7" s="1">
        <f>+Tabla538[[#This Row],[TERMINO ACTIVIDADES PM]]-Tabla538[[#This Row],[INICIO ACTIVIDADES PM]]</f>
        <v>0.25694444444444409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 t="s">
        <v>101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81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0.44444444444444453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0.43749999999999994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0.45138888888888862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0.43749999999999972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0.43611111111111078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0.44138888888888872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1.0419672131147537</v>
      </c>
      <c r="H23" s="36"/>
      <c r="I23" s="17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103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G8" sqref="G8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44949</v>
      </c>
      <c r="D3" s="29">
        <v>0.34375</v>
      </c>
      <c r="E3" s="29">
        <v>0.35069444444444442</v>
      </c>
      <c r="F3" s="29">
        <v>0.37222222222222223</v>
      </c>
      <c r="G3" s="29">
        <v>0.54652777777777783</v>
      </c>
      <c r="H3" s="29">
        <v>0.55208333333333337</v>
      </c>
      <c r="I3" s="29">
        <v>0.57638888888888895</v>
      </c>
      <c r="J3" s="27">
        <v>0.65972222222222199</v>
      </c>
      <c r="K3" s="37"/>
      <c r="L3" s="38"/>
      <c r="M3" s="38"/>
      <c r="N3" s="39" t="s">
        <v>15</v>
      </c>
      <c r="O3" s="2">
        <f>Tabla53[[#This Row],[FECHA]]</f>
        <v>44949</v>
      </c>
      <c r="P3" s="1">
        <f>D3</f>
        <v>0.34375</v>
      </c>
      <c r="Q3" s="1">
        <f>E3-D3</f>
        <v>6.9444444444444198E-3</v>
      </c>
      <c r="R3" s="1">
        <f>F3-E3</f>
        <v>2.1527777777777812E-2</v>
      </c>
      <c r="S3" s="1">
        <f>G3-F3</f>
        <v>0.1743055555555556</v>
      </c>
      <c r="T3" s="1">
        <f>+Tabla53[[#This Row],[ALMUERZO]]-Tabla53[[#This Row],[TERMINO ACT. AM]]</f>
        <v>5.5555555555555358E-3</v>
      </c>
      <c r="U3" s="1">
        <f>+Tabla53[[#This Row],[INICIO ACTIVIDADES PM]]-Tabla53[[#This Row],[ALMUERZO]]</f>
        <v>2.430555555555558E-2</v>
      </c>
      <c r="V3" s="1">
        <f>+Tabla53[[#This Row],[TERMINO ACTIVIDADES PM]]-Tabla53[[#This Row],[INICIO ACTIVIDADES PM]]</f>
        <v>8.3333333333333037E-2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44950</v>
      </c>
      <c r="D4" s="29">
        <v>0.34027777777777773</v>
      </c>
      <c r="E4" s="29">
        <v>0.37847222222222227</v>
      </c>
      <c r="F4" s="29">
        <v>0.38541666666666669</v>
      </c>
      <c r="G4" s="29">
        <v>0.59722222222222221</v>
      </c>
      <c r="H4" s="29">
        <v>0.60069444444444442</v>
      </c>
      <c r="I4" s="29">
        <v>0.625</v>
      </c>
      <c r="J4" s="27">
        <v>0.65972222222222221</v>
      </c>
      <c r="K4" s="37"/>
      <c r="M4" s="3"/>
      <c r="N4" s="3" t="s">
        <v>16</v>
      </c>
      <c r="O4" s="2">
        <f>Tabla53[[#This Row],[FECHA]]</f>
        <v>44950</v>
      </c>
      <c r="P4" s="1">
        <f>D4</f>
        <v>0.34027777777777773</v>
      </c>
      <c r="Q4" s="1">
        <f t="shared" ref="Q4:S7" si="0">E4-D4</f>
        <v>3.8194444444444531E-2</v>
      </c>
      <c r="R4" s="1">
        <f t="shared" si="0"/>
        <v>6.9444444444444198E-3</v>
      </c>
      <c r="S4" s="1">
        <f t="shared" si="0"/>
        <v>0.21180555555555552</v>
      </c>
      <c r="T4" s="1">
        <f>+Tabla53[[#This Row],[ALMUERZO]]-Tabla53[[#This Row],[TERMINO ACT. AM]]</f>
        <v>3.4722222222222099E-3</v>
      </c>
      <c r="U4" s="1">
        <f>+Tabla53[[#This Row],[INICIO ACTIVIDADES PM]]-Tabla53[[#This Row],[ALMUERZO]]</f>
        <v>2.430555555555558E-2</v>
      </c>
      <c r="V4" s="1">
        <f>+Tabla53[[#This Row],[TERMINO ACTIVIDADES PM]]-Tabla53[[#This Row],[INICIO ACTIVIDADES PM]]</f>
        <v>3.472222222222221E-2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44951</v>
      </c>
      <c r="D5" s="29">
        <v>0.33680555555555558</v>
      </c>
      <c r="E5" s="29">
        <v>0.38541666666666669</v>
      </c>
      <c r="F5" s="29">
        <v>0.38541666666666669</v>
      </c>
      <c r="G5" s="29">
        <v>0.58333333333333337</v>
      </c>
      <c r="H5" s="29">
        <v>0.59027777777777779</v>
      </c>
      <c r="I5" s="29">
        <v>0.61458333333333337</v>
      </c>
      <c r="J5" s="27">
        <v>0.65972222222222199</v>
      </c>
      <c r="K5" s="37"/>
      <c r="M5" s="3"/>
      <c r="N5" s="3" t="s">
        <v>16</v>
      </c>
      <c r="O5" s="2">
        <f>Tabla53[[#This Row],[FECHA]]</f>
        <v>44951</v>
      </c>
      <c r="P5" s="1">
        <f>D5</f>
        <v>0.33680555555555558</v>
      </c>
      <c r="Q5" s="1">
        <f t="shared" si="0"/>
        <v>4.8611111111111105E-2</v>
      </c>
      <c r="R5" s="1">
        <f t="shared" si="0"/>
        <v>0</v>
      </c>
      <c r="S5" s="1">
        <f t="shared" si="0"/>
        <v>0.19791666666666669</v>
      </c>
      <c r="T5" s="1">
        <f>+Tabla53[[#This Row],[ALMUERZO]]-Tabla53[[#This Row],[TERMINO ACT. AM]]</f>
        <v>6.9444444444444198E-3</v>
      </c>
      <c r="U5" s="1">
        <f>+Tabla53[[#This Row],[INICIO ACTIVIDADES PM]]-Tabla53[[#This Row],[ALMUERZO]]</f>
        <v>2.430555555555558E-2</v>
      </c>
      <c r="V5" s="1">
        <f>+Tabla53[[#This Row],[TERMINO ACTIVIDADES PM]]-Tabla53[[#This Row],[INICIO ACTIVIDADES PM]]</f>
        <v>4.5138888888888618E-2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44952</v>
      </c>
      <c r="D6" s="29">
        <v>0.34027777777777773</v>
      </c>
      <c r="E6" s="29">
        <v>0.35069444444444442</v>
      </c>
      <c r="F6" s="29">
        <v>0.3743055555555555</v>
      </c>
      <c r="G6" s="29">
        <v>0.54513888888888895</v>
      </c>
      <c r="H6" s="29">
        <v>0.55208333333333337</v>
      </c>
      <c r="I6" s="29">
        <v>0.57638888888888895</v>
      </c>
      <c r="J6" s="27">
        <v>0.65972222222222199</v>
      </c>
      <c r="K6" s="37"/>
      <c r="M6" s="3"/>
      <c r="N6" s="3" t="s">
        <v>17</v>
      </c>
      <c r="O6" s="2">
        <f>Tabla53[[#This Row],[FECHA]]</f>
        <v>44952</v>
      </c>
      <c r="P6" s="1">
        <f>D6</f>
        <v>0.34027777777777773</v>
      </c>
      <c r="Q6" s="1">
        <f t="shared" si="0"/>
        <v>1.0416666666666685E-2</v>
      </c>
      <c r="R6" s="1">
        <f t="shared" si="0"/>
        <v>2.3611111111111083E-2</v>
      </c>
      <c r="S6" s="1">
        <f t="shared" si="0"/>
        <v>0.17083333333333345</v>
      </c>
      <c r="T6" s="1">
        <f>+Tabla53[[#This Row],[ALMUERZO]]-Tabla53[[#This Row],[TERMINO ACT. AM]]</f>
        <v>6.9444444444444198E-3</v>
      </c>
      <c r="U6" s="1">
        <f>+Tabla53[[#This Row],[INICIO ACTIVIDADES PM]]-Tabla53[[#This Row],[ALMUERZO]]</f>
        <v>2.430555555555558E-2</v>
      </c>
      <c r="V6" s="1">
        <f>+Tabla53[[#This Row],[TERMINO ACTIVIDADES PM]]-Tabla53[[#This Row],[INICIO ACTIVIDADES PM]]</f>
        <v>8.3333333333333037E-2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44953</v>
      </c>
      <c r="D7" s="29">
        <v>0.33680555555555558</v>
      </c>
      <c r="E7" s="29">
        <v>0.37152777777777773</v>
      </c>
      <c r="F7" s="29">
        <v>0.37847222222222227</v>
      </c>
      <c r="G7" s="29">
        <v>0.59166666666666667</v>
      </c>
      <c r="H7" s="29">
        <v>0.60069444444444442</v>
      </c>
      <c r="I7" s="29">
        <v>0.625</v>
      </c>
      <c r="J7" s="27">
        <v>0.65972222222222199</v>
      </c>
      <c r="K7" s="37"/>
      <c r="M7" s="3"/>
      <c r="N7" s="3" t="s">
        <v>18</v>
      </c>
      <c r="O7" s="2">
        <f>Tabla53[[#This Row],[FECHA]]</f>
        <v>44953</v>
      </c>
      <c r="P7" s="1">
        <f>D7</f>
        <v>0.33680555555555558</v>
      </c>
      <c r="Q7" s="1">
        <f t="shared" si="0"/>
        <v>3.4722222222222154E-2</v>
      </c>
      <c r="R7" s="1">
        <f t="shared" si="0"/>
        <v>6.9444444444445308E-3</v>
      </c>
      <c r="S7" s="1">
        <f t="shared" si="0"/>
        <v>0.21319444444444441</v>
      </c>
      <c r="T7" s="1">
        <f>+Tabla53[[#This Row],[ALMUERZO]]-Tabla53[[#This Row],[TERMINO ACT. AM]]</f>
        <v>9.0277777777777457E-3</v>
      </c>
      <c r="U7" s="1">
        <f>+Tabla53[[#This Row],[INICIO ACTIVIDADES PM]]-Tabla53[[#This Row],[ALMUERZO]]</f>
        <v>2.430555555555558E-2</v>
      </c>
      <c r="V7" s="1">
        <f>+Tabla53[[#This Row],[TERMINO ACTIVIDADES PM]]-Tabla53[[#This Row],[INICIO ACTIVIDADES PM]]</f>
        <v>3.4722222222221988E-2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0.25763888888888864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0.24652777777777773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0.2430555555555553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0.25416666666666649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0.2479166666666664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0.24986111111111092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0.99944444444444369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J27" s="158" t="s">
        <v>105</v>
      </c>
      <c r="K27" s="159" t="s">
        <v>103</v>
      </c>
      <c r="T27" s="1"/>
    </row>
    <row r="28" spans="1:20" ht="15.6" customHeight="1" x14ac:dyDescent="0.25">
      <c r="J28" s="158"/>
      <c r="K28" s="160"/>
      <c r="T28" s="1"/>
    </row>
    <row r="29" spans="1:20" ht="15.6" customHeight="1" x14ac:dyDescent="0.25">
      <c r="J29" s="158"/>
      <c r="K29" s="160"/>
      <c r="T29" s="1"/>
    </row>
    <row r="30" spans="1:20" ht="15.6" customHeight="1" x14ac:dyDescent="0.25">
      <c r="J30" s="158"/>
      <c r="K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F8" sqref="F8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7.25" bestFit="1" customWidth="1"/>
    <col min="18" max="18" width="13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44949</v>
      </c>
      <c r="D3" s="29">
        <v>0.3125</v>
      </c>
      <c r="E3" s="29">
        <v>0.33333333333333331</v>
      </c>
      <c r="F3" s="29">
        <v>0.3611111111111111</v>
      </c>
      <c r="G3" s="29">
        <v>0.53819444444444442</v>
      </c>
      <c r="H3" s="29">
        <v>0.55555555555555558</v>
      </c>
      <c r="I3" s="29">
        <v>0.57986111111111105</v>
      </c>
      <c r="J3" s="27">
        <v>0.65277777777777779</v>
      </c>
      <c r="K3" s="62" t="s">
        <v>94</v>
      </c>
      <c r="L3" s="38"/>
      <c r="M3" s="38"/>
      <c r="N3" s="39" t="s">
        <v>15</v>
      </c>
      <c r="O3" s="2">
        <f>Tabla53839[[#This Row],[FECHA]]</f>
        <v>44949</v>
      </c>
      <c r="P3" s="1">
        <f>D3</f>
        <v>0.3125</v>
      </c>
      <c r="Q3" s="1">
        <f>E3-D3</f>
        <v>2.0833333333333315E-2</v>
      </c>
      <c r="R3" s="1">
        <f>F3-E3</f>
        <v>2.777777777777779E-2</v>
      </c>
      <c r="S3" s="1">
        <f>G3-F3</f>
        <v>0.17708333333333331</v>
      </c>
      <c r="T3" s="1">
        <f>+Tabla53839[[#This Row],[ALMUERZO]]-Tabla53839[[#This Row],[TERMINO ACT. AM]]</f>
        <v>1.736111111111116E-2</v>
      </c>
      <c r="U3" s="1">
        <f>+Tabla53839[[#This Row],[INICIO ACTIVIDADES PM]]-Tabla53839[[#This Row],[ALMUERZO]]</f>
        <v>2.4305555555555469E-2</v>
      </c>
      <c r="V3" s="1">
        <f>+Tabla53839[[#This Row],[TERMINO ACTIVIDADES PM]]-Tabla53839[[#This Row],[INICIO ACTIVIDADES PM]]</f>
        <v>7.2916666666666741E-2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44950</v>
      </c>
      <c r="D4" s="29">
        <v>0.3125</v>
      </c>
      <c r="E4" s="29">
        <v>0.33680555555555558</v>
      </c>
      <c r="F4" s="29">
        <v>0.35069444444444442</v>
      </c>
      <c r="G4" s="29">
        <v>0.58680555555555558</v>
      </c>
      <c r="H4" s="29">
        <v>0.60069444444444442</v>
      </c>
      <c r="I4" s="29">
        <v>0.625</v>
      </c>
      <c r="J4" s="27">
        <v>0.65277777777777801</v>
      </c>
      <c r="K4" s="62" t="s">
        <v>94</v>
      </c>
      <c r="M4" s="3"/>
      <c r="N4" s="3" t="s">
        <v>16</v>
      </c>
      <c r="O4" s="2">
        <f>Tabla53839[[#This Row],[FECHA]]</f>
        <v>44950</v>
      </c>
      <c r="P4" s="1">
        <f>D4</f>
        <v>0.3125</v>
      </c>
      <c r="Q4" s="1">
        <f t="shared" ref="Q4:S7" si="0">E4-D4</f>
        <v>2.430555555555558E-2</v>
      </c>
      <c r="R4" s="1">
        <f t="shared" si="0"/>
        <v>1.388888888888884E-2</v>
      </c>
      <c r="S4" s="1">
        <f t="shared" si="0"/>
        <v>0.23611111111111116</v>
      </c>
      <c r="T4" s="1">
        <f>+Tabla53839[[#This Row],[ALMUERZO]]-Tabla53839[[#This Row],[TERMINO ACT. AM]]</f>
        <v>1.388888888888884E-2</v>
      </c>
      <c r="U4" s="1">
        <f>+Tabla53839[[#This Row],[INICIO ACTIVIDADES PM]]-Tabla53839[[#This Row],[ALMUERZO]]</f>
        <v>2.430555555555558E-2</v>
      </c>
      <c r="V4" s="1">
        <f>+Tabla53839[[#This Row],[TERMINO ACTIVIDADES PM]]-Tabla53839[[#This Row],[INICIO ACTIVIDADES PM]]</f>
        <v>2.7777777777778012E-2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44951</v>
      </c>
      <c r="D5" s="29">
        <v>0.31597222222222221</v>
      </c>
      <c r="E5" s="29">
        <v>0.33680555555555558</v>
      </c>
      <c r="F5" s="29">
        <v>0.35069444444444442</v>
      </c>
      <c r="G5" s="29">
        <v>0.60069444444444442</v>
      </c>
      <c r="H5" s="29">
        <v>0.61458333333333337</v>
      </c>
      <c r="I5" s="29">
        <v>0.63750000000000007</v>
      </c>
      <c r="J5" s="27">
        <v>0.65277777777777801</v>
      </c>
      <c r="K5" s="62" t="s">
        <v>94</v>
      </c>
      <c r="M5" s="3"/>
      <c r="N5" s="3" t="s">
        <v>16</v>
      </c>
      <c r="O5" s="2">
        <f>Tabla53839[[#This Row],[FECHA]]</f>
        <v>44951</v>
      </c>
      <c r="P5" s="1">
        <f>D5</f>
        <v>0.31597222222222221</v>
      </c>
      <c r="Q5" s="1">
        <f t="shared" si="0"/>
        <v>2.083333333333337E-2</v>
      </c>
      <c r="R5" s="1">
        <f t="shared" si="0"/>
        <v>1.388888888888884E-2</v>
      </c>
      <c r="S5" s="1">
        <f t="shared" si="0"/>
        <v>0.25</v>
      </c>
      <c r="T5" s="1">
        <f>+Tabla53839[[#This Row],[ALMUERZO]]-Tabla53839[[#This Row],[TERMINO ACT. AM]]</f>
        <v>1.3888888888888951E-2</v>
      </c>
      <c r="U5" s="1">
        <f>+Tabla53839[[#This Row],[INICIO ACTIVIDADES PM]]-Tabla53839[[#This Row],[ALMUERZO]]</f>
        <v>2.2916666666666696E-2</v>
      </c>
      <c r="V5" s="1">
        <f>+Tabla53839[[#This Row],[TERMINO ACTIVIDADES PM]]-Tabla53839[[#This Row],[INICIO ACTIVIDADES PM]]</f>
        <v>1.5277777777777946E-2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44952</v>
      </c>
      <c r="D6" s="29">
        <v>0.3125</v>
      </c>
      <c r="E6" s="29">
        <v>0.34027777777777773</v>
      </c>
      <c r="F6" s="29">
        <v>0.35902777777777778</v>
      </c>
      <c r="G6" s="29">
        <v>0.57291666666666663</v>
      </c>
      <c r="H6" s="29">
        <v>0.58680555555555558</v>
      </c>
      <c r="I6" s="29">
        <v>0.61458333333333337</v>
      </c>
      <c r="J6" s="27">
        <v>0.65277777777777779</v>
      </c>
      <c r="K6" s="62" t="s">
        <v>94</v>
      </c>
      <c r="M6" s="3"/>
      <c r="N6" s="3" t="s">
        <v>17</v>
      </c>
      <c r="O6" s="2">
        <f>Tabla53839[[#This Row],[FECHA]]</f>
        <v>44952</v>
      </c>
      <c r="P6" s="1">
        <f>D6</f>
        <v>0.3125</v>
      </c>
      <c r="Q6" s="1">
        <f t="shared" si="0"/>
        <v>2.7777777777777735E-2</v>
      </c>
      <c r="R6" s="1">
        <f t="shared" si="0"/>
        <v>1.8750000000000044E-2</v>
      </c>
      <c r="S6" s="1">
        <f t="shared" si="0"/>
        <v>0.21388888888888885</v>
      </c>
      <c r="T6" s="1">
        <f>+Tabla53839[[#This Row],[ALMUERZO]]-Tabla53839[[#This Row],[TERMINO ACT. AM]]</f>
        <v>1.3888888888888951E-2</v>
      </c>
      <c r="U6" s="1">
        <f>+Tabla53839[[#This Row],[INICIO ACTIVIDADES PM]]-Tabla53839[[#This Row],[ALMUERZO]]</f>
        <v>2.777777777777779E-2</v>
      </c>
      <c r="V6" s="1">
        <f>+Tabla53839[[#This Row],[TERMINO ACTIVIDADES PM]]-Tabla53839[[#This Row],[INICIO ACTIVIDADES PM]]</f>
        <v>3.819444444444442E-2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44953</v>
      </c>
      <c r="D7" s="29">
        <v>0.3125</v>
      </c>
      <c r="E7" s="29">
        <v>0.33333333333333331</v>
      </c>
      <c r="F7" s="29">
        <v>0.3576388888888889</v>
      </c>
      <c r="G7" s="29">
        <v>0.54166666666666663</v>
      </c>
      <c r="H7" s="29">
        <v>0.55555555555555558</v>
      </c>
      <c r="I7" s="29">
        <v>0.57986111111111105</v>
      </c>
      <c r="J7" s="27">
        <v>0.65277777777777779</v>
      </c>
      <c r="K7" s="62" t="s">
        <v>94</v>
      </c>
      <c r="M7" s="3"/>
      <c r="N7" s="3" t="s">
        <v>18</v>
      </c>
      <c r="O7" s="2">
        <f>Tabla53839[[#This Row],[FECHA]]</f>
        <v>44953</v>
      </c>
      <c r="P7" s="1">
        <f>D7</f>
        <v>0.3125</v>
      </c>
      <c r="Q7" s="1">
        <f t="shared" si="0"/>
        <v>2.0833333333333315E-2</v>
      </c>
      <c r="R7" s="1">
        <f t="shared" si="0"/>
        <v>2.430555555555558E-2</v>
      </c>
      <c r="S7" s="1">
        <f t="shared" si="0"/>
        <v>0.18402777777777773</v>
      </c>
      <c r="T7" s="1">
        <f>+Tabla53839[[#This Row],[ALMUERZO]]-Tabla53839[[#This Row],[TERMINO ACT. AM]]</f>
        <v>1.3888888888888951E-2</v>
      </c>
      <c r="U7" s="1">
        <f>+Tabla53839[[#This Row],[INICIO ACTIVIDADES PM]]-Tabla53839[[#This Row],[ALMUERZO]]</f>
        <v>2.4305555555555469E-2</v>
      </c>
      <c r="V7" s="1">
        <f>+Tabla53839[[#This Row],[TERMINO ACTIVIDADES PM]]-Tabla53839[[#This Row],[INICIO ACTIVIDADES PM]]</f>
        <v>7.2916666666666741E-2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82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0.25000000000000006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0.26388888888888917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0.26527777777777795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0.25208333333333327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0.25694444444444448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0.25763888888888897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1.0305555555555559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58" t="s">
        <v>105</v>
      </c>
      <c r="I27" s="159" t="s">
        <v>104</v>
      </c>
      <c r="T27" s="1"/>
    </row>
    <row r="28" spans="1:20" ht="15.6" customHeight="1" x14ac:dyDescent="0.25">
      <c r="H28" s="158"/>
      <c r="I28" s="160"/>
      <c r="T28" s="1"/>
    </row>
    <row r="29" spans="1:20" ht="15.6" customHeight="1" x14ac:dyDescent="0.25">
      <c r="H29" s="158"/>
      <c r="I29" s="160"/>
      <c r="T29" s="1"/>
    </row>
    <row r="30" spans="1:20" ht="15.6" customHeight="1" x14ac:dyDescent="0.25">
      <c r="H30" s="158"/>
      <c r="I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G5" sqref="G5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44949</v>
      </c>
      <c r="D3" s="29">
        <v>0.64583333333333337</v>
      </c>
      <c r="E3" s="29">
        <v>0.69027777777777777</v>
      </c>
      <c r="F3" s="29">
        <v>0.70486111111111116</v>
      </c>
      <c r="G3" s="29">
        <v>0.92708333333333337</v>
      </c>
      <c r="H3" s="29">
        <v>0.93402777777777779</v>
      </c>
      <c r="I3" s="29">
        <v>0.96180555555555547</v>
      </c>
      <c r="J3" s="27">
        <v>0.98611111111111105</v>
      </c>
      <c r="K3" s="37"/>
      <c r="L3" s="38"/>
      <c r="M3" s="38"/>
      <c r="N3" s="39" t="s">
        <v>15</v>
      </c>
      <c r="O3" s="2">
        <f>Tabla5383940[[#This Row],[FECHA]]</f>
        <v>44949</v>
      </c>
      <c r="P3" s="1">
        <f>D3</f>
        <v>0.64583333333333337</v>
      </c>
      <c r="Q3" s="1">
        <f>E3-D3</f>
        <v>4.4444444444444398E-2</v>
      </c>
      <c r="R3" s="1">
        <f>F3-E3</f>
        <v>1.4583333333333393E-2</v>
      </c>
      <c r="S3" s="1">
        <f>G3-F3</f>
        <v>0.22222222222222221</v>
      </c>
      <c r="T3" s="1">
        <f>+Tabla5383940[[#This Row],[ALMUERZO]]-Tabla5383940[[#This Row],[TERMINO ACT. AM]]</f>
        <v>6.9444444444444198E-3</v>
      </c>
      <c r="U3" s="1">
        <f>+Tabla5383940[[#This Row],[INICIO ACTIVIDADES PM]]-Tabla5383940[[#This Row],[ALMUERZO]]</f>
        <v>2.7777777777777679E-2</v>
      </c>
      <c r="V3" s="1">
        <f>+Tabla5383940[[#This Row],[TERMINO ACTIVIDADES PM]]-Tabla5383940[[#This Row],[INICIO ACTIVIDADES PM]]</f>
        <v>2.430555555555558E-2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44950</v>
      </c>
      <c r="D4" s="29">
        <v>0.64583333333333337</v>
      </c>
      <c r="E4" s="29">
        <v>0.68055555555555547</v>
      </c>
      <c r="F4" s="29">
        <v>0.69444444444444453</v>
      </c>
      <c r="G4" s="29">
        <v>0.90972222222222221</v>
      </c>
      <c r="H4" s="29">
        <v>0.92013888888888884</v>
      </c>
      <c r="I4" s="29">
        <v>0.95138888888888884</v>
      </c>
      <c r="J4" s="27">
        <v>0.98611111111111116</v>
      </c>
      <c r="K4" s="37"/>
      <c r="M4" s="3"/>
      <c r="N4" s="3" t="s">
        <v>16</v>
      </c>
      <c r="O4" s="2">
        <f>Tabla5383940[[#This Row],[FECHA]]</f>
        <v>44950</v>
      </c>
      <c r="P4" s="1">
        <f>D4</f>
        <v>0.64583333333333337</v>
      </c>
      <c r="Q4" s="1">
        <f t="shared" ref="Q4:S7" si="0">E4-D4</f>
        <v>3.4722222222222099E-2</v>
      </c>
      <c r="R4" s="1">
        <f t="shared" si="0"/>
        <v>1.3888888888889062E-2</v>
      </c>
      <c r="S4" s="1">
        <f t="shared" si="0"/>
        <v>0.21527777777777768</v>
      </c>
      <c r="T4" s="1">
        <f>+Tabla5383940[[#This Row],[ALMUERZO]]-Tabla5383940[[#This Row],[TERMINO ACT. AM]]</f>
        <v>1.041666666666663E-2</v>
      </c>
      <c r="U4" s="1">
        <f>+Tabla5383940[[#This Row],[INICIO ACTIVIDADES PM]]-Tabla5383940[[#This Row],[ALMUERZO]]</f>
        <v>3.125E-2</v>
      </c>
      <c r="V4" s="1">
        <f>+Tabla5383940[[#This Row],[TERMINO ACTIVIDADES PM]]-Tabla5383940[[#This Row],[INICIO ACTIVIDADES PM]]</f>
        <v>3.4722222222222321E-2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44951</v>
      </c>
      <c r="D5" s="29">
        <v>0.64583333333333337</v>
      </c>
      <c r="E5" s="29">
        <v>0.68958333333333333</v>
      </c>
      <c r="F5" s="29">
        <v>0.69791666666666663</v>
      </c>
      <c r="G5" s="29">
        <v>0.90277777777777779</v>
      </c>
      <c r="H5" s="29">
        <v>0.90972222222222221</v>
      </c>
      <c r="I5" s="29">
        <v>0.94097222222222221</v>
      </c>
      <c r="J5" s="27">
        <v>0.98611111111111105</v>
      </c>
      <c r="K5" s="37"/>
      <c r="M5" s="3"/>
      <c r="N5" s="3" t="s">
        <v>16</v>
      </c>
      <c r="O5" s="2">
        <f>Tabla5383940[[#This Row],[FECHA]]</f>
        <v>44951</v>
      </c>
      <c r="P5" s="1">
        <f>D5</f>
        <v>0.64583333333333337</v>
      </c>
      <c r="Q5" s="1">
        <f t="shared" si="0"/>
        <v>4.3749999999999956E-2</v>
      </c>
      <c r="R5" s="1">
        <f t="shared" si="0"/>
        <v>8.3333333333333037E-3</v>
      </c>
      <c r="S5" s="1">
        <f t="shared" si="0"/>
        <v>0.20486111111111116</v>
      </c>
      <c r="T5" s="1">
        <f>+Tabla5383940[[#This Row],[ALMUERZO]]-Tabla5383940[[#This Row],[TERMINO ACT. AM]]</f>
        <v>6.9444444444444198E-3</v>
      </c>
      <c r="U5" s="1">
        <f>+Tabla5383940[[#This Row],[INICIO ACTIVIDADES PM]]-Tabla5383940[[#This Row],[ALMUERZO]]</f>
        <v>3.125E-2</v>
      </c>
      <c r="V5" s="1">
        <f>+Tabla5383940[[#This Row],[TERMINO ACTIVIDADES PM]]-Tabla5383940[[#This Row],[INICIO ACTIVIDADES PM]]</f>
        <v>4.513888888888884E-2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44952</v>
      </c>
      <c r="D6" s="29">
        <v>0.64583333333333337</v>
      </c>
      <c r="E6" s="29">
        <v>0.6875</v>
      </c>
      <c r="F6" s="29">
        <v>0.70486111111111116</v>
      </c>
      <c r="G6" s="29">
        <v>0.92708333333333337</v>
      </c>
      <c r="H6" s="29">
        <v>0.93402777777777779</v>
      </c>
      <c r="I6" s="29">
        <v>0.95694444444444438</v>
      </c>
      <c r="J6" s="27">
        <v>0.98611111111111105</v>
      </c>
      <c r="K6" s="37"/>
      <c r="M6" s="3"/>
      <c r="N6" s="3" t="s">
        <v>17</v>
      </c>
      <c r="O6" s="2">
        <f>Tabla5383940[[#This Row],[FECHA]]</f>
        <v>44952</v>
      </c>
      <c r="P6" s="1">
        <f>D6</f>
        <v>0.64583333333333337</v>
      </c>
      <c r="Q6" s="1">
        <f t="shared" si="0"/>
        <v>4.166666666666663E-2</v>
      </c>
      <c r="R6" s="1">
        <f t="shared" si="0"/>
        <v>1.736111111111116E-2</v>
      </c>
      <c r="S6" s="1">
        <f t="shared" si="0"/>
        <v>0.22222222222222221</v>
      </c>
      <c r="T6" s="1">
        <f>+Tabla5383940[[#This Row],[ALMUERZO]]-Tabla5383940[[#This Row],[TERMINO ACT. AM]]</f>
        <v>6.9444444444444198E-3</v>
      </c>
      <c r="U6" s="1">
        <f>+Tabla5383940[[#This Row],[INICIO ACTIVIDADES PM]]-Tabla5383940[[#This Row],[ALMUERZO]]</f>
        <v>2.2916666666666585E-2</v>
      </c>
      <c r="V6" s="1">
        <f>+Tabla5383940[[#This Row],[TERMINO ACTIVIDADES PM]]-Tabla5383940[[#This Row],[INICIO ACTIVIDADES PM]]</f>
        <v>2.9166666666666674E-2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44953</v>
      </c>
      <c r="D7" s="29">
        <v>0.64583333333333337</v>
      </c>
      <c r="E7" s="29">
        <v>0.68055555555555547</v>
      </c>
      <c r="F7" s="29">
        <v>0.6958333333333333</v>
      </c>
      <c r="G7" s="29">
        <v>0.91319444444444453</v>
      </c>
      <c r="H7" s="29">
        <v>0.92013888888888884</v>
      </c>
      <c r="I7" s="29">
        <v>0.94791666666666663</v>
      </c>
      <c r="J7" s="27">
        <v>0.98611111111111105</v>
      </c>
      <c r="K7" s="37"/>
      <c r="M7" s="3"/>
      <c r="N7" s="3" t="s">
        <v>18</v>
      </c>
      <c r="O7" s="2">
        <f>Tabla5383940[[#This Row],[FECHA]]</f>
        <v>44953</v>
      </c>
      <c r="P7" s="1">
        <f>D7</f>
        <v>0.64583333333333337</v>
      </c>
      <c r="Q7" s="1">
        <f t="shared" si="0"/>
        <v>3.4722222222222099E-2</v>
      </c>
      <c r="R7" s="1">
        <f t="shared" si="0"/>
        <v>1.5277777777777835E-2</v>
      </c>
      <c r="S7" s="1">
        <f t="shared" si="0"/>
        <v>0.21736111111111123</v>
      </c>
      <c r="T7" s="1">
        <f>+Tabla5383940[[#This Row],[ALMUERZO]]-Tabla5383940[[#This Row],[TERMINO ACT. AM]]</f>
        <v>6.9444444444443088E-3</v>
      </c>
      <c r="U7" s="1">
        <f>+Tabla5383940[[#This Row],[INICIO ACTIVIDADES PM]]-Tabla5383940[[#This Row],[ALMUERZO]]</f>
        <v>2.777777777777779E-2</v>
      </c>
      <c r="V7" s="1">
        <f>+Tabla5383940[[#This Row],[TERMINO ACTIVIDADES PM]]-Tabla5383940[[#This Row],[INICIO ACTIVIDADES PM]]</f>
        <v>3.819444444444442E-2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83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0.24652777777777779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0.25138888888888888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0.25555555555555565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0.25069444444444444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1.0027777777777778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58" t="s">
        <v>105</v>
      </c>
      <c r="J27" s="159" t="s">
        <v>103</v>
      </c>
      <c r="T27" s="1"/>
    </row>
    <row r="28" spans="1:20" ht="15.6" customHeight="1" x14ac:dyDescent="0.25">
      <c r="I28" s="158"/>
      <c r="J28" s="160"/>
      <c r="T28" s="1"/>
    </row>
    <row r="29" spans="1:20" ht="15.6" customHeight="1" x14ac:dyDescent="0.25">
      <c r="I29" s="158"/>
      <c r="J29" s="160"/>
      <c r="T29" s="1"/>
    </row>
    <row r="30" spans="1:20" ht="15.6" customHeight="1" x14ac:dyDescent="0.25">
      <c r="I30" s="158"/>
      <c r="J30" s="161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2023-02-14T19:54:36Z</dcterms:modified>
</cp:coreProperties>
</file>