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Disciplina carlos diaz\"/>
    </mc:Choice>
  </mc:AlternateContent>
  <bookViews>
    <workbookView xWindow="0" yWindow="0" windowWidth="23040" windowHeight="8616" tabRatio="995" activeTab="16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D9" i="30" l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D8" i="30" s="1"/>
  <c r="G21" i="38"/>
  <c r="G23" i="38" s="1"/>
  <c r="G21" i="40"/>
  <c r="G23" i="40" s="1"/>
  <c r="G21" i="39"/>
  <c r="G23" i="39" s="1"/>
  <c r="G21" i="36"/>
  <c r="X53" i="47" l="1"/>
  <c r="Y53" i="47"/>
  <c r="G23" i="36"/>
  <c r="D6" i="30"/>
  <c r="D7" i="30"/>
  <c r="D15" i="30"/>
  <c r="D14" i="30"/>
  <c r="D11" i="30"/>
  <c r="G23" i="42"/>
  <c r="D12" i="30"/>
  <c r="D2" i="30"/>
  <c r="D10" i="30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D3" i="30" l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<sst xmlns="http://schemas.openxmlformats.org/spreadsheetml/2006/main" count="1110" uniqueCount="130">
  <si>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</si>
  <si>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</si>
  <si>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</si>
  <si>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</si>
  <si>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</si>
  <si>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</si>
  <si>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</si>
  <si>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</si>
  <si>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</si>
  <si>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</si>
  <si>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</si>
  <si>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</si>
  <si>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</si>
  <si>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</si>
  <si>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</si>
  <si>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</si>
  <si>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</si>
  <si>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</si>
  <si>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</si>
  <si>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</si>
  <si>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</si>
  <si>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</si>
  <si>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</si>
  <si>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</si>
  <si>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</si>
  <si>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</si>
  <si>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</si>
  <si>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</si>
  <si>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</si>
  <si>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</si>
  <si>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</si>
  <si>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</si>
  <si>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</si>
  <si>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</si>
  <si>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</si>
  <si>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</si>
  <si>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</si>
  <si>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</si>
  <si>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</si>
  <si>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</si>
  <si>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</si>
  <si>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</si>
  <si>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</si>
  <si>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</si>
  <si>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</si>
  <si>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</si>
  <si>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</si>
  <si>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</si>
  <si>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</si>
  <si>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</si>
  <si>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</si>
  <si>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</si>
  <si>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</si>
  <si>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</si>
  <si>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</si>
  <si>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</si>
  <si>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</si>
  <si>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</si>
  <si>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</si>
  <si>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</si>
  <si>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</si>
  <si>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</si>
  <si>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</si>
  <si>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</si>
  <si>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</si>
  <si>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</si>
  <si>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</si>
  <si>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</si>
  <si>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</si>
  <si>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</si>
  <si>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</si>
  <si>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</si>
  <si>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</si>
  <si>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</si>
  <si>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</si>
  <si>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</si>
  <si>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</si>
  <si>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</si>
  <si>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</si>
  <si>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</si>
  <si>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</si>
  <si>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</si>
  <si>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</si>
  <si>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</si>
  <si>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</si>
  <si>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</si>
  <si>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</si>
  <si>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</si>
  <si>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</si>
  <si>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</si>
  <si>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</si>
  <si>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</si>
  <si>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</si>
  <si>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</si>
  <si>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</si>
  <si>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</si>
  <si>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</si>
  <si>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</si>
  <si>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</si>
  <si>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</si>
  <si>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</si>
  <si>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</si>
  <si>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</si>
  <si>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</si>
  <si>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</si>
  <si>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</si>
  <si>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</si>
  <si>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</si>
  <si>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</si>
  <si>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</si>
  <si>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</si>
  <si>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</si>
  <si>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</si>
  <si>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</si>
  <si>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</si>
  <si>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</si>
  <si>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</si>
  <si>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</si>
  <si>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</si>
  <si>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</si>
  <si>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</si>
  <si>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</si>
  <si>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</si>
  <si>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</si>
  <si>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</si>
  <si>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</si>
  <si>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</si>
  <si>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</si>
  <si>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</si>
  <si>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Contingencia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</si>
</sst>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2.4305555555555525E-2</c:v>
                </c:pt>
                <c:pt idx="2">
                  <c:v>2.7083333333333348E-2</c:v>
                </c:pt>
                <c:pt idx="3">
                  <c:v>2.4305555555555525E-2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1.9444444444444431E-2</c:v>
                </c:pt>
                <c:pt idx="2">
                  <c:v>1.3888888888888951E-2</c:v>
                </c:pt>
                <c:pt idx="3">
                  <c:v>2.0833333333333315E-2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0.22708333333333341</c:v>
                </c:pt>
                <c:pt idx="2">
                  <c:v>0.2361111111111111</c:v>
                </c:pt>
                <c:pt idx="3">
                  <c:v>0.23263888888888895</c:v>
                </c:pt>
                <c:pt idx="4">
                  <c:v>0.23472222222222222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2.5000000000000022E-2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3.125E-2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1.5277777777777501E-2</c:v>
                </c:pt>
                <c:pt idx="1">
                  <c:v>1.3888888888888618E-2</c:v>
                </c:pt>
                <c:pt idx="2">
                  <c:v>1.3888888888888618E-2</c:v>
                </c:pt>
                <c:pt idx="3">
                  <c:v>1.0416666666666408E-2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3.4722222222222321E-2</c:v>
                </c:pt>
                <c:pt idx="1">
                  <c:v>2.430555555555558E-2</c:v>
                </c:pt>
                <c:pt idx="2">
                  <c:v>1.736111111111116E-2</c:v>
                </c:pt>
                <c:pt idx="3">
                  <c:v>3.8194444444444531E-2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0.15277777777777768</c:v>
                </c:pt>
                <c:pt idx="1">
                  <c:v>0.15625</c:v>
                </c:pt>
                <c:pt idx="2">
                  <c:v>0.14236111111111105</c:v>
                </c:pt>
                <c:pt idx="3">
                  <c:v>0.15625</c:v>
                </c:pt>
                <c:pt idx="4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6.9444444444443088E-3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3.2638888888888995E-2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9.027777777777779E-2</c:v>
                </c:pt>
                <c:pt idx="1">
                  <c:v>0.1215277777777779</c:v>
                </c:pt>
                <c:pt idx="2">
                  <c:v>0.10972222222222217</c:v>
                </c:pt>
                <c:pt idx="3">
                  <c:v>9.0277777777777901E-2</c:v>
                </c:pt>
                <c:pt idx="4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3.1250000000000056E-2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2.777777777777779E-2</c:v>
                </c:pt>
                <c:pt idx="2">
                  <c:v>2.083333333333337E-2</c:v>
                </c:pt>
                <c:pt idx="3">
                  <c:v>2.777777777777779E-2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0.1736111111111111</c:v>
                </c:pt>
                <c:pt idx="2">
                  <c:v>0.15972222222222227</c:v>
                </c:pt>
                <c:pt idx="3">
                  <c:v>0.1701388888888889</c:v>
                </c:pt>
                <c:pt idx="4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8.333333333333337E-2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0.31458333333333333</c:v>
                </c:pt>
                <c:pt idx="1">
                  <c:v>0.3125</c:v>
                </c:pt>
                <c:pt idx="2">
                  <c:v>0.3125</c:v>
                </c:pt>
                <c:pt idx="3">
                  <c:v>0.31458333333333333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2.5694444444444409E-2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2.9166666666666674E-2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3.4722222222222654E-3</c:v>
                </c:pt>
                <c:pt idx="1">
                  <c:v>3.4722222222222654E-3</c:v>
                </c:pt>
                <c:pt idx="2">
                  <c:v>3.4722222222222654E-3</c:v>
                </c:pt>
                <c:pt idx="3">
                  <c:v>3.4722222222222654E-3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0.15625</c:v>
                </c:pt>
                <c:pt idx="1">
                  <c:v>0.15624999999999994</c:v>
                </c:pt>
                <c:pt idx="2">
                  <c:v>0.17708333333333337</c:v>
                </c:pt>
                <c:pt idx="3">
                  <c:v>0.15624999999999994</c:v>
                </c:pt>
                <c:pt idx="4">
                  <c:v>0.15972222222222221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0.12152777777777779</c:v>
                </c:pt>
                <c:pt idx="2">
                  <c:v>0.10763888888888884</c:v>
                </c:pt>
                <c:pt idx="3">
                  <c:v>0.125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2.7777777777777679E-2</c:v>
                </c:pt>
                <c:pt idx="2">
                  <c:v>2.2916666666666696E-2</c:v>
                </c:pt>
                <c:pt idx="3">
                  <c:v>2.9861111111111116E-2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0.18402777777777779</c:v>
                </c:pt>
                <c:pt idx="1">
                  <c:v>0.19444444444444442</c:v>
                </c:pt>
                <c:pt idx="2">
                  <c:v>0.22361111111111109</c:v>
                </c:pt>
                <c:pt idx="3">
                  <c:v>0.20625000000000004</c:v>
                </c:pt>
                <c:pt idx="4">
                  <c:v>0.22222222222222232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2.2222222222222254E-2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5.2083333333333259E-2</c:v>
                </c:pt>
                <c:pt idx="1">
                  <c:v>4.513888888888884E-2</c:v>
                </c:pt>
                <c:pt idx="2">
                  <c:v>2.7777777777777235E-2</c:v>
                </c:pt>
                <c:pt idx="3">
                  <c:v>3.4722222222221655E-2</c:v>
                </c:pt>
                <c:pt idx="4">
                  <c:v>2.7777777777777235E-2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0.32291666666666669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2.6388888888888906E-2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0.21180555555555564</c:v>
                </c:pt>
                <c:pt idx="1">
                  <c:v>0.17708333333333331</c:v>
                </c:pt>
                <c:pt idx="2">
                  <c:v>0.15625000000000006</c:v>
                </c:pt>
                <c:pt idx="3">
                  <c:v>0.17152777777777778</c:v>
                </c:pt>
                <c:pt idx="4">
                  <c:v>0.18055555555555552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4.7222222222222165E-2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8.333333333333337E-2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0.6875</c:v>
                </c:pt>
                <c:pt idx="2">
                  <c:v>0.68055555555555547</c:v>
                </c:pt>
                <c:pt idx="3">
                  <c:v>0.68402777777777779</c:v>
                </c:pt>
                <c:pt idx="4">
                  <c:v>0.68055555555555547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2.7777777777777679E-2</c:v>
                </c:pt>
                <c:pt idx="4">
                  <c:v>2.2222222222222365E-2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1.5972222222222165E-2</c:v>
                </c:pt>
                <c:pt idx="2">
                  <c:v>1.736111111111116E-2</c:v>
                </c:pt>
                <c:pt idx="3">
                  <c:v>6.9444444444445308E-3</c:v>
                </c:pt>
                <c:pt idx="4">
                  <c:v>2.4999999999999911E-2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0.22916666666666674</c:v>
                </c:pt>
                <c:pt idx="1">
                  <c:v>0.22013888888888888</c:v>
                </c:pt>
                <c:pt idx="2">
                  <c:v>0.22916666666666663</c:v>
                </c:pt>
                <c:pt idx="3">
                  <c:v>0.22222222222222221</c:v>
                </c:pt>
                <c:pt idx="4">
                  <c:v>0.21666666666666679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2.2222222222222365E-2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2.2916666666666474E-2</c:v>
                </c:pt>
                <c:pt idx="4">
                  <c:v>1.7361111111110938E-2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0.67708333333333337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1.8750000000000044E-2</c:v>
                </c:pt>
                <c:pt idx="1">
                  <c:v>3.3333333333333437E-2</c:v>
                </c:pt>
                <c:pt idx="2">
                  <c:v>3.7499999999999978E-2</c:v>
                </c:pt>
                <c:pt idx="3">
                  <c:v>1.736111111111116E-2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0.23124999999999996</c:v>
                </c:pt>
                <c:pt idx="1">
                  <c:v>0.21319444444444446</c:v>
                </c:pt>
                <c:pt idx="2">
                  <c:v>0.21180555555555569</c:v>
                </c:pt>
                <c:pt idx="3">
                  <c:v>0.22222222222222221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7.6388888888888618E-3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3.8194444444444531E-2</c:v>
                </c:pt>
                <c:pt idx="2">
                  <c:v>2.7777777777777846E-2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1.041666666666663E-2</c:v>
                </c:pt>
                <c:pt idx="2">
                  <c:v>1.0416666666666685E-2</c:v>
                </c:pt>
                <c:pt idx="3">
                  <c:v>9.0277777777778012E-3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0.22222222222222227</c:v>
                </c:pt>
                <c:pt idx="1">
                  <c:v>0.21875000000000006</c:v>
                </c:pt>
                <c:pt idx="2">
                  <c:v>0.2361111111111111</c:v>
                </c:pt>
                <c:pt idx="3">
                  <c:v>0.24097222222222225</c:v>
                </c:pt>
                <c:pt idx="4">
                  <c:v>0.21874999999999994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6.9444444444444198E-3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1.8055555555555602E-2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1.8749999999999933E-2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3.4027777777777768E-2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2.1527777777777812E-2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0.20486111111111094</c:v>
                </c:pt>
                <c:pt idx="1">
                  <c:v>0.23263888888888884</c:v>
                </c:pt>
                <c:pt idx="2">
                  <c:v>0.24305555555555569</c:v>
                </c:pt>
                <c:pt idx="3">
                  <c:v>0.21458333333333335</c:v>
                </c:pt>
                <c:pt idx="4">
                  <c:v>0.22013888888888899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3.4722222222223209E-3</c:v>
                </c:pt>
                <c:pt idx="2">
                  <c:v>3.4722222222222099E-3</c:v>
                </c:pt>
                <c:pt idx="3">
                  <c:v>7.6388888888887507E-3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2.2916666666666585E-2</c:v>
                </c:pt>
                <c:pt idx="2">
                  <c:v>2.0833333333333259E-2</c:v>
                </c:pt>
                <c:pt idx="3">
                  <c:v>2.2222222222222365E-2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3.125E-2</c:v>
                </c:pt>
                <c:pt idx="1">
                  <c:v>1.5277777777777724E-2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6.9444444444444198E-3</c:v>
                </c:pt>
                <c:pt idx="2">
                  <c:v>4.8611111111110383E-3</c:v>
                </c:pt>
                <c:pt idx="3">
                  <c:v>6.9444444444444198E-3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0.18819444444444444</c:v>
                </c:pt>
                <c:pt idx="1">
                  <c:v>0.18055555555555558</c:v>
                </c:pt>
                <c:pt idx="2">
                  <c:v>0.18958333333333333</c:v>
                </c:pt>
                <c:pt idx="3">
                  <c:v>0.17499999999999999</c:v>
                </c:pt>
                <c:pt idx="4">
                  <c:v>0.18194444444444441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9.0277777777777457E-3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2.777777777777779E-2</c:v>
                </c:pt>
                <c:pt idx="2">
                  <c:v>2.083333333333337E-2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0.27083333333333337</c:v>
                </c:pt>
                <c:pt idx="2">
                  <c:v>0.26388888888888862</c:v>
                </c:pt>
                <c:pt idx="3">
                  <c:v>0.26388888888888862</c:v>
                </c:pt>
                <c:pt idx="4">
                  <c:v>0.26388888888888862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4.1666666666666685E-2</c:v>
                </c:pt>
                <c:pt idx="1">
                  <c:v>3.125E-2</c:v>
                </c:pt>
                <c:pt idx="2">
                  <c:v>3.4722222222222265E-2</c:v>
                </c:pt>
                <c:pt idx="3">
                  <c:v>4.1666666666666685E-2</c:v>
                </c:pt>
                <c:pt idx="4">
                  <c:v>3.3333333333333381E-2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9.0277777777777457E-3</c:v>
                </c:pt>
                <c:pt idx="1">
                  <c:v>1.3888888888888951E-2</c:v>
                </c:pt>
                <c:pt idx="2">
                  <c:v>1.1805555555555569E-2</c:v>
                </c:pt>
                <c:pt idx="3">
                  <c:v>9.0277777777777457E-3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0.20624999999999999</c:v>
                </c:pt>
                <c:pt idx="1">
                  <c:v>0.21180555555555552</c:v>
                </c:pt>
                <c:pt idx="2">
                  <c:v>0.2</c:v>
                </c:pt>
                <c:pt idx="3">
                  <c:v>0.20624999999999999</c:v>
                </c:pt>
                <c:pt idx="4">
                  <c:v>0.21180555555555552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3.472222222222221E-2</c:v>
                </c:pt>
                <c:pt idx="2">
                  <c:v>4.1666666666666408E-2</c:v>
                </c:pt>
                <c:pt idx="3">
                  <c:v>3.125E-2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1.7361111111111105E-2</c:v>
                </c:pt>
                <c:pt idx="2">
                  <c:v>1.736111111111116E-2</c:v>
                </c:pt>
                <c:pt idx="3">
                  <c:v>1.1111111111111072E-2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0.20138888888888884</c:v>
                </c:pt>
                <c:pt idx="1">
                  <c:v>0.1423611111111111</c:v>
                </c:pt>
                <c:pt idx="2">
                  <c:v>0.18402777777777773</c:v>
                </c:pt>
                <c:pt idx="3">
                  <c:v>0.19375000000000003</c:v>
                </c:pt>
                <c:pt idx="4">
                  <c:v>0.13194444444444442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3.4722222222222321E-2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0.11111111111111116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1.3888888888888895E-2</c:v>
                </c:pt>
                <c:pt idx="2">
                  <c:v>1.1111111111111183E-2</c:v>
                </c:pt>
                <c:pt idx="3">
                  <c:v>4.1666666666666519E-3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0.20833333333333331</c:v>
                </c:pt>
                <c:pt idx="1">
                  <c:v>0.18055555555555552</c:v>
                </c:pt>
                <c:pt idx="2">
                  <c:v>0.19027777777777771</c:v>
                </c:pt>
                <c:pt idx="3">
                  <c:v>0.20069444444444445</c:v>
                </c:pt>
                <c:pt idx="4">
                  <c:v>0.18750000000000006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1.3888888888888951E-2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3.8194444444444531E-2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6.944444444444442E-2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6.944444444444442E-2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70000000000018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9</xdr:row>
      <xdr:rowOff>121920</xdr:rowOff>
    </xdr:from>
    <xdr:to>
      <xdr:col>9</xdr:col>
      <xdr:colOff>179070</xdr:colOff>
      <xdr:row>15</xdr:row>
      <xdr:rowOff>121920</xdr:rowOff>
    </xdr:to>
    <xdr:cxnSp macro="">
      <xdr:nvCxnSpPr>
        <xdr:cNvPr id="9" name="Conector angular 8"/>
        <xdr:cNvCxnSpPr/>
      </xdr:nvCxnSpPr>
      <xdr:spPr>
        <a:xfrm rot="16200000" flipV="1">
          <a:off x="3617595" y="26308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1451610</xdr:colOff>
      <xdr:row>9</xdr:row>
      <xdr:rowOff>289560</xdr:rowOff>
    </xdr:from>
    <xdr:to>
      <xdr:col>3</xdr:col>
      <xdr:colOff>182880</xdr:colOff>
      <xdr:row>16</xdr:row>
      <xdr:rowOff>60960</xdr:rowOff>
    </xdr:to>
    <xdr:cxnSp macro="">
      <xdr:nvCxnSpPr>
        <xdr:cNvPr id="4" name="Conector angular 3"/>
        <xdr:cNvCxnSpPr/>
      </xdr:nvCxnSpPr>
      <xdr:spPr>
        <a:xfrm rot="5400000">
          <a:off x="1544955" y="224599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15</xdr:row>
      <xdr:rowOff>76200</xdr:rowOff>
    </xdr:from>
    <xdr:to>
      <xdr:col>18</xdr:col>
      <xdr:colOff>83820</xdr:colOff>
      <xdr:row>18</xdr:row>
      <xdr:rowOff>91440</xdr:rowOff>
    </xdr:to>
    <xdr:sp macro="" textlink="">
      <xdr:nvSpPr>
        <xdr:cNvPr id="11" name="Rectángulo 10"/>
        <xdr:cNvSpPr/>
      </xdr:nvSpPr>
      <xdr:spPr>
        <a:xfrm>
          <a:off x="3703320" y="339852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trabajos de reparación</a:t>
          </a:r>
          <a:r>
            <a:rPr lang="es-CL" sz="1100" baseline="0"/>
            <a:t> red de agua</a:t>
          </a:r>
          <a:endParaRPr lang="es-CL" sz="1100"/>
        </a:p>
      </xdr:txBody>
    </xdr:sp>
    <xdr:clientData/>
  </xdr:twoCellAnchor>
  <xdr:twoCellAnchor>
    <xdr:from>
      <xdr:col>13</xdr:col>
      <xdr:colOff>83820</xdr:colOff>
      <xdr:row>0</xdr:row>
      <xdr:rowOff>175260</xdr:rowOff>
    </xdr:from>
    <xdr:to>
      <xdr:col>24</xdr:col>
      <xdr:colOff>198120</xdr:colOff>
      <xdr:row>2</xdr:row>
      <xdr:rowOff>182880</xdr:rowOff>
    </xdr:to>
    <xdr:sp macro="" textlink="">
      <xdr:nvSpPr>
        <xdr:cNvPr id="13" name="Rectángulo 12"/>
        <xdr:cNvSpPr/>
      </xdr:nvSpPr>
      <xdr:spPr>
        <a:xfrm>
          <a:off x="5372100" y="175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reparacion  en pilar norte</a:t>
          </a:r>
        </a:p>
        <a:p>
          <a:pPr algn="l"/>
          <a:endParaRPr lang="es-CL" sz="1100"/>
        </a:p>
      </xdr:txBody>
    </xdr:sp>
    <xdr:clientData/>
  </xdr:twoCellAnchor>
  <xdr:twoCellAnchor>
    <xdr:from>
      <xdr:col>12</xdr:col>
      <xdr:colOff>213360</xdr:colOff>
      <xdr:row>1</xdr:row>
      <xdr:rowOff>179070</xdr:rowOff>
    </xdr:from>
    <xdr:to>
      <xdr:col>13</xdr:col>
      <xdr:colOff>83820</xdr:colOff>
      <xdr:row>9</xdr:row>
      <xdr:rowOff>68580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4554855" y="106489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16</xdr:row>
      <xdr:rowOff>91440</xdr:rowOff>
    </xdr:from>
    <xdr:to>
      <xdr:col>6</xdr:col>
      <xdr:colOff>0</xdr:colOff>
      <xdr:row>18</xdr:row>
      <xdr:rowOff>99060</xdr:rowOff>
    </xdr:to>
    <xdr:sp macro="" textlink="">
      <xdr:nvSpPr>
        <xdr:cNvPr id="16" name="Rectángulo 15"/>
        <xdr:cNvSpPr/>
      </xdr:nvSpPr>
      <xdr:spPr>
        <a:xfrm>
          <a:off x="510540" y="36118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5:37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5:32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10:32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10:56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I6" sqref="I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44851</v>
      </c>
      <c r="D3" s="37">
        <v>0.34027777777777773</v>
      </c>
      <c r="E3" s="37">
        <v>0.3576388888888889</v>
      </c>
      <c r="F3" s="37">
        <v>0.38541666666666669</v>
      </c>
      <c r="G3" s="37">
        <v>0.61458333333333337</v>
      </c>
      <c r="H3" s="37">
        <v>0.61944444444444446</v>
      </c>
      <c r="I3" s="37">
        <v>0.64444444444444449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44851</v>
      </c>
      <c r="P3" s="7">
        <f>D3</f>
        <v>0.34027777777777773</v>
      </c>
      <c r="Q3" s="7">
        <f>E3-D3</f>
        <v>1.736111111111116E-2</v>
      </c>
      <c r="R3" s="7">
        <f>F3-E3</f>
        <v>2.777777777777779E-2</v>
      </c>
      <c r="S3" s="7">
        <f>G3-F3</f>
        <v>0.22916666666666669</v>
      </c>
      <c r="T3" s="7">
        <f>+Tabla5[[#This Row],[ALMUERZO]]-Tabla5[[#This Row],[TERMINO ACT. AM]]</f>
        <v>4.8611111111110938E-3</v>
      </c>
      <c r="U3" s="7">
        <f>+Tabla5[[#This Row],[INICIO ACTIVIDADES PM]]-Tabla5[[#This Row],[ALMUERZO]]</f>
        <v>2.5000000000000022E-2</v>
      </c>
      <c r="V3" s="7">
        <f>+Tabla5[[#This Row],[TERMINO ACTIVIDADES PM]]-Tabla5[[#This Row],[INICIO ACTIVIDADES PM]]</f>
        <v>1.5277777777777501E-2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44852</v>
      </c>
      <c r="D4" s="37">
        <v>0.33680555555555558</v>
      </c>
      <c r="E4" s="37">
        <v>0.3611111111111111</v>
      </c>
      <c r="F4" s="37">
        <v>0.38055555555555554</v>
      </c>
      <c r="G4" s="37">
        <v>0.60763888888888895</v>
      </c>
      <c r="H4" s="37">
        <v>0.61805555555555558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44852</v>
      </c>
      <c r="P4" s="7">
        <f>D4</f>
        <v>0.33680555555555558</v>
      </c>
      <c r="Q4" s="7">
        <f t="shared" ref="Q4:Q7" si="0">E4-D4</f>
        <v>2.4305555555555525E-2</v>
      </c>
      <c r="R4" s="7">
        <f t="shared" ref="R4:R7" si="1">F4-E4</f>
        <v>1.9444444444444431E-2</v>
      </c>
      <c r="S4" s="7">
        <f t="shared" ref="S4:S7" si="2">G4-F4</f>
        <v>0.22708333333333341</v>
      </c>
      <c r="T4" s="7">
        <f>+Tabla5[[#This Row],[ALMUERZO]]-Tabla5[[#This Row],[TERMINO ACT. AM]]</f>
        <v>1.041666666666663E-2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44853</v>
      </c>
      <c r="D5" s="37">
        <v>0.33749999999999997</v>
      </c>
      <c r="E5" s="37">
        <v>0.36458333333333331</v>
      </c>
      <c r="F5" s="37">
        <v>0.37847222222222227</v>
      </c>
      <c r="G5" s="37">
        <v>0.61458333333333337</v>
      </c>
      <c r="H5" s="37">
        <v>0.62152777777777779</v>
      </c>
      <c r="I5" s="37">
        <v>0.64583333333333337</v>
      </c>
      <c r="J5" s="46">
        <v>0.65972222222222199</v>
      </c>
      <c r="K5" s="47"/>
      <c r="M5" s="5"/>
      <c r="N5" s="5" t="s">
        <v>16</v>
      </c>
      <c r="O5" s="4">
        <f>Tabla5[[#This Row],[FECHA]]</f>
        <v>44853</v>
      </c>
      <c r="P5" s="7">
        <f>D5</f>
        <v>0.33749999999999997</v>
      </c>
      <c r="Q5" s="7">
        <f t="shared" si="0"/>
        <v>2.7083333333333348E-2</v>
      </c>
      <c r="R5" s="7">
        <f t="shared" si="1"/>
        <v>1.3888888888888951E-2</v>
      </c>
      <c r="S5" s="7">
        <f t="shared" si="2"/>
        <v>0.2361111111111111</v>
      </c>
      <c r="T5" s="7">
        <f>+Tabla5[[#This Row],[ALMUERZO]]-Tabla5[[#This Row],[TERMINO ACT. AM]]</f>
        <v>6.9444444444444198E-3</v>
      </c>
      <c r="U5" s="7">
        <f>+Tabla5[[#This Row],[INICIO ACTIVIDADES PM]]-Tabla5[[#This Row],[ALMUERZO]]</f>
        <v>2.430555555555558E-2</v>
      </c>
      <c r="V5" s="7">
        <f>+Tabla5[[#This Row],[TERMINO ACTIVIDADES PM]]-Tabla5[[#This Row],[INICIO ACTIVIDADES PM]]</f>
        <v>1.3888888888888618E-2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44854</v>
      </c>
      <c r="D6" s="37">
        <v>0.33680555555555558</v>
      </c>
      <c r="E6" s="37">
        <v>0.3611111111111111</v>
      </c>
      <c r="F6" s="37">
        <v>0.38194444444444442</v>
      </c>
      <c r="G6" s="37">
        <v>0.61458333333333337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44854</v>
      </c>
      <c r="P6" s="7">
        <f>D6</f>
        <v>0.33680555555555558</v>
      </c>
      <c r="Q6" s="7">
        <f t="shared" si="0"/>
        <v>2.4305555555555525E-2</v>
      </c>
      <c r="R6" s="7">
        <f t="shared" si="1"/>
        <v>2.0833333333333315E-2</v>
      </c>
      <c r="S6" s="7">
        <f t="shared" si="2"/>
        <v>0.23263888888888895</v>
      </c>
      <c r="T6" s="7">
        <f>+Tabla5[[#This Row],[ALMUERZO]]-Tabla5[[#This Row],[TERMINO ACT. AM]]</f>
        <v>3.4722222222222099E-3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44855</v>
      </c>
      <c r="D7" s="37">
        <v>0.33680555555555558</v>
      </c>
      <c r="E7" s="37">
        <v>0.36458333333333331</v>
      </c>
      <c r="F7" s="37">
        <v>0.37847222222222227</v>
      </c>
      <c r="G7" s="37">
        <v>0.61319444444444449</v>
      </c>
      <c r="H7" s="37">
        <v>0.62152777777777779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Tabla5[[#This Row],[FECHA]]</f>
        <v>44855</v>
      </c>
      <c r="P7" s="7">
        <f>D7</f>
        <v>0.33680555555555558</v>
      </c>
      <c r="Q7" s="7">
        <f t="shared" si="0"/>
        <v>2.7777777777777735E-2</v>
      </c>
      <c r="R7" s="7">
        <f t="shared" si="1"/>
        <v>1.3888888888888951E-2</v>
      </c>
      <c r="S7" s="7">
        <f t="shared" si="2"/>
        <v>0.23472222222222222</v>
      </c>
      <c r="T7" s="7">
        <f>+Tabla5[[#This Row],[ALMUERZO]]-Tabla5[[#This Row],[TERMINO ACT. AM]]</f>
        <v>8.3333333333333037E-3</v>
      </c>
      <c r="U7" s="7">
        <f>+Tabla5[[#This Row],[INICIO ACTIVIDADES PM]]-Tabla5[[#This Row],[ALMUERZO]]</f>
        <v>2.0833333333333259E-2</v>
      </c>
      <c r="V7" s="7">
        <f>+Tabla5[[#This Row],[TERMINO ACTIVIDADES PM]]-Tabla5[[#This Row],[INICIO ACTIVIDADES PM]]</f>
        <v>1.736111111111116E-2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44856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44857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0.24444444444444419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0.24097222222222203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0.24999999999999972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0.24305555555555536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0.25208333333333338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0.24611111111111095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0.98444444444444379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7" sqref="I7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0.64583333333333337</v>
      </c>
      <c r="E3" s="37">
        <v>0.65972222222222221</v>
      </c>
      <c r="F3" s="37">
        <v>0.69444444444444453</v>
      </c>
      <c r="G3" s="37">
        <v>0.84722222222222221</v>
      </c>
      <c r="H3" s="37">
        <v>0.87152777777777779</v>
      </c>
      <c r="I3" s="37">
        <v>0.89583333333333337</v>
      </c>
      <c r="J3" s="46">
        <v>0.98611111111111116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>E3-D3</f>
        <v>1.388888888888884E-2</v>
      </c>
      <c r="R3" s="7">
        <f>F3-E3</f>
        <v>3.4722222222222321E-2</v>
      </c>
      <c r="S3" s="7">
        <f>G3-F3</f>
        <v>0.15277777777777768</v>
      </c>
      <c r="T3" s="7">
        <f>+Tabla538394041[[#This Row],[ALMUERZO]]-Tabla538394041[[#This Row],[TERMINO ACT. AM]]</f>
        <v>2.430555555555558E-2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9.027777777777779E-2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0.64583333333333337</v>
      </c>
      <c r="E4" s="37">
        <v>0.65277777777777779</v>
      </c>
      <c r="F4" s="37">
        <v>0.67708333333333337</v>
      </c>
      <c r="G4" s="37">
        <v>0.83333333333333337</v>
      </c>
      <c r="H4" s="37">
        <v>0.84027777777777779</v>
      </c>
      <c r="I4" s="37">
        <v>0.86805555555555547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ref="Q4:Q7" si="0">E4-D4</f>
        <v>6.9444444444444198E-3</v>
      </c>
      <c r="R4" s="7">
        <f t="shared" ref="R4:S7" si="1">F4-E4</f>
        <v>2.430555555555558E-2</v>
      </c>
      <c r="S4" s="7">
        <f t="shared" si="1"/>
        <v>0.15625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2.7777777777777679E-2</v>
      </c>
      <c r="V4" s="7">
        <f>+Tabla538394041[[#This Row],[TERMINO ACTIVIDADES PM]]-Tabla538394041[[#This Row],[INICIO ACTIVIDADES PM]]</f>
        <v>0.1215277777777779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0.64583333333333337</v>
      </c>
      <c r="E5" s="37">
        <v>0.66666666666666663</v>
      </c>
      <c r="F5" s="37">
        <v>0.68402777777777779</v>
      </c>
      <c r="G5" s="37">
        <v>0.82638888888888884</v>
      </c>
      <c r="H5" s="37">
        <v>0.83680555555555547</v>
      </c>
      <c r="I5" s="37">
        <v>0.86944444444444446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1"/>
        <v>1.736111111111116E-2</v>
      </c>
      <c r="S5" s="7">
        <f t="shared" si="1"/>
        <v>0.14236111111111105</v>
      </c>
      <c r="T5" s="7">
        <f>+Tabla538394041[[#This Row],[ALMUERZO]]-Tabla538394041[[#This Row],[TERMINO ACT. AM]]</f>
        <v>1.041666666666663E-2</v>
      </c>
      <c r="U5" s="7">
        <f>+Tabla538394041[[#This Row],[INICIO ACTIVIDADES PM]]-Tabla538394041[[#This Row],[ALMUERZO]]</f>
        <v>3.2638888888888995E-2</v>
      </c>
      <c r="V5" s="7">
        <f>+Tabla538394041[[#This Row],[TERMINO ACTIVIDADES PM]]-Tabla538394041[[#This Row],[INICIO ACTIVIDADES PM]]</f>
        <v>0.10972222222222217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0.64583333333333337</v>
      </c>
      <c r="E6" s="37">
        <v>0.66666666666666663</v>
      </c>
      <c r="F6" s="37">
        <v>0.70486111111111116</v>
      </c>
      <c r="G6" s="37">
        <v>0.86111111111111116</v>
      </c>
      <c r="H6" s="37">
        <v>0.86805555555555547</v>
      </c>
      <c r="I6" s="37">
        <v>0.89930555555555547</v>
      </c>
      <c r="J6" s="46">
        <v>0.98958333333333337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1"/>
        <v>3.8194444444444531E-2</v>
      </c>
      <c r="S6" s="7">
        <f t="shared" si="1"/>
        <v>0.15625</v>
      </c>
      <c r="T6" s="7">
        <f>+Tabla538394041[[#This Row],[ALMUERZO]]-Tabla538394041[[#This Row],[TERMINO ACT. AM]]</f>
        <v>6.9444444444443088E-3</v>
      </c>
      <c r="U6" s="7">
        <f>+Tabla538394041[[#This Row],[INICIO ACTIVIDADES PM]]-Tabla538394041[[#This Row],[ALMUERZO]]</f>
        <v>3.125E-2</v>
      </c>
      <c r="V6" s="7">
        <f>+Tabla538394041[[#This Row],[TERMINO ACTIVIDADES PM]]-Tabla538394041[[#This Row],[INICIO ACTIVIDADES PM]]</f>
        <v>9.0277777777777901E-2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0.64583333333333337</v>
      </c>
      <c r="E7" s="37">
        <v>0.66666666666666663</v>
      </c>
      <c r="F7" s="37">
        <v>0.67708333333333337</v>
      </c>
      <c r="G7" s="37">
        <v>0.84375</v>
      </c>
      <c r="H7" s="37">
        <v>0.85416666666666663</v>
      </c>
      <c r="I7" s="37">
        <v>0.88541666666666663</v>
      </c>
      <c r="J7" s="46">
        <v>0.97916666666666663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1"/>
        <v>1.0416666666666741E-2</v>
      </c>
      <c r="S7" s="7">
        <f t="shared" si="1"/>
        <v>0.16666666666666663</v>
      </c>
      <c r="T7" s="7">
        <f>+Tabla538394041[[#This Row],[ALMUERZO]]-Tabla538394041[[#This Row],[TERMINO ACT. AM]]</f>
        <v>1.041666666666663E-2</v>
      </c>
      <c r="U7" s="7">
        <f>+Tabla538394041[[#This Row],[INICIO ACTIVIDADES PM]]-Tabla538394041[[#This Row],[ALMUERZO]]</f>
        <v>3.125E-2</v>
      </c>
      <c r="V7" s="7">
        <f>+Tabla538394041[[#This Row],[TERMINO ACTIVIDADES PM]]-Tabla538394041[[#This Row],[INICIO ACTIVIDADES PM]]</f>
        <v>9.375E-2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0.2777777777777779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0.25208333333333321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0.26041666666666663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0.25597222222222216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1.0238888888888886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7" t="s">
        <v>105</v>
      </c>
      <c r="J28" s="178" t="s">
        <v>103</v>
      </c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79"/>
      <c r="T30" s="3"/>
    </row>
    <row r="31" spans="1:20" ht="15.6" customHeight="1" x14ac:dyDescent="0.3">
      <c r="I31" s="177"/>
      <c r="J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0.31597222222222221</v>
      </c>
      <c r="E3" s="37">
        <v>0.34722222222222227</v>
      </c>
      <c r="F3" s="37">
        <v>0.36458333333333331</v>
      </c>
      <c r="G3" s="56">
        <v>0.54166666666666663</v>
      </c>
      <c r="H3" s="37">
        <v>0.54861111111111105</v>
      </c>
      <c r="I3" s="37">
        <v>0.57986111111111105</v>
      </c>
      <c r="J3" s="46">
        <v>0.65277777777777779</v>
      </c>
      <c r="K3" s="47"/>
      <c r="L3" s="53"/>
      <c r="M3" s="53"/>
      <c r="N3" s="57" t="s">
        <v>15</v>
      </c>
      <c r="O3" s="4">
        <f>Tabla53839404142[[#This Row],[FECHA]]</f>
        <v>44851</v>
      </c>
      <c r="P3" s="7">
        <f>D3</f>
        <v>0.31597222222222221</v>
      </c>
      <c r="Q3" s="7">
        <f>E3-D3</f>
        <v>3.1250000000000056E-2</v>
      </c>
      <c r="R3" s="7">
        <f>F3-E3</f>
        <v>1.7361111111111049E-2</v>
      </c>
      <c r="S3" s="7">
        <f>G3-F3</f>
        <v>0.17708333333333331</v>
      </c>
      <c r="T3" s="7">
        <f>+Tabla53839404142[[#This Row],[ALMUERZO]]-Tabla53839404142[[#This Row],[TERMINO ACT. AM]]</f>
        <v>6.9444444444444198E-3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7.2916666666666741E-2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0.3611111111111111</v>
      </c>
      <c r="G4" s="56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2.777777777777779E-2</v>
      </c>
      <c r="S4" s="7">
        <f t="shared" si="0"/>
        <v>0.1736111111111111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0.35416666666666669</v>
      </c>
      <c r="G5" s="56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2.083333333333337E-2</v>
      </c>
      <c r="S5" s="7">
        <f t="shared" si="0"/>
        <v>0.15972222222222227</v>
      </c>
      <c r="T5" s="7">
        <f>+Tabla53839404142[[#This Row],[ALMUERZO]]-Tabla53839404142[[#This Row],[TERMINO ACT. AM]]</f>
        <v>6.9444444444444198E-3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0.3611111111111111</v>
      </c>
      <c r="G6" s="37">
        <v>0.53125</v>
      </c>
      <c r="H6" s="37">
        <v>0.54166666666666663</v>
      </c>
      <c r="I6" s="37">
        <v>0.57291666666666663</v>
      </c>
      <c r="J6" s="46">
        <v>0.65625</v>
      </c>
      <c r="K6" s="47"/>
      <c r="M6" s="5"/>
      <c r="N6" s="5" t="s">
        <v>17</v>
      </c>
      <c r="O6" s="4">
        <f>Tabla53839404142[[#This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2.777777777777779E-2</v>
      </c>
      <c r="S6" s="7">
        <f t="shared" si="0"/>
        <v>0.1701388888888889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8.333333333333337E-2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0.35972222222222222</v>
      </c>
      <c r="G7" s="56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2.6388888888888906E-2</v>
      </c>
      <c r="S7" s="7">
        <f t="shared" si="0"/>
        <v>0.17499999999999999</v>
      </c>
      <c r="T7" s="7">
        <f>+Tabla53839404142[[#This Row],[ALMUERZO]]-Tabla53839404142[[#This Row],[TERMINO ACT. AM]]</f>
        <v>6.9444444444444198E-3</v>
      </c>
      <c r="U7" s="7">
        <f>+Tabla53839404142[[#This Row],[INICIO ACTIVIDADES PM]]-Tabla53839404142[[#This Row],[ALMUERZO]]</f>
        <v>2.6388888888888906E-2</v>
      </c>
      <c r="V7" s="7">
        <f>+Tabla53839404142[[#This Row],[TERMINO ACTIVIDADES PM]]-Tabla53839404142[[#This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0.25000000000000006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0.26041666666666669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0.25347222222222227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0.25972222222222224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0.25541666666666674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1.0216666666666669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44851</v>
      </c>
      <c r="D3" s="37">
        <v>0.31458333333333333</v>
      </c>
      <c r="E3" s="37">
        <v>0.34027777777777773</v>
      </c>
      <c r="F3" s="37">
        <v>0.34375</v>
      </c>
      <c r="G3" s="37">
        <v>0.5</v>
      </c>
      <c r="H3" s="37">
        <v>0.50694444444444442</v>
      </c>
      <c r="I3" s="37">
        <v>0.53125</v>
      </c>
      <c r="J3" s="46">
        <v>0.66666666666666663</v>
      </c>
      <c r="K3" s="47"/>
      <c r="L3" s="53"/>
      <c r="M3" s="53"/>
      <c r="N3" s="57" t="s">
        <v>15</v>
      </c>
      <c r="O3" s="4">
        <f>Tabla5383940414243[[#This Row],[FECHA]]</f>
        <v>44851</v>
      </c>
      <c r="P3" s="7">
        <f>D3</f>
        <v>0.31458333333333333</v>
      </c>
      <c r="Q3" s="7">
        <f>E3-D3</f>
        <v>2.5694444444444409E-2</v>
      </c>
      <c r="R3" s="7">
        <f>F3-E3</f>
        <v>3.4722222222222654E-3</v>
      </c>
      <c r="S3" s="7">
        <f>G3-F3</f>
        <v>0.15625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0.13541666666666663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0.34722222222222227</v>
      </c>
      <c r="G4" s="37">
        <v>0.50347222222222221</v>
      </c>
      <c r="H4" s="37">
        <v>0.51041666666666663</v>
      </c>
      <c r="I4" s="37">
        <v>0.53819444444444442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3.4722222222222654E-3</v>
      </c>
      <c r="S4" s="7">
        <f t="shared" si="0"/>
        <v>0.15624999999999994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0.12152777777777779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0.34375</v>
      </c>
      <c r="G5" s="37">
        <v>0.52083333333333337</v>
      </c>
      <c r="H5" s="37">
        <v>0.52777777777777779</v>
      </c>
      <c r="I5" s="37">
        <v>0.55208333333333337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3.4722222222222654E-3</v>
      </c>
      <c r="S5" s="7">
        <f t="shared" si="0"/>
        <v>0.17708333333333337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0.10763888888888884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44854</v>
      </c>
      <c r="D6" s="37">
        <v>0.31458333333333333</v>
      </c>
      <c r="E6" s="37">
        <v>0.34375</v>
      </c>
      <c r="F6" s="37">
        <v>0.34722222222222227</v>
      </c>
      <c r="G6" s="37">
        <v>0.50347222222222221</v>
      </c>
      <c r="H6" s="37">
        <v>0.51041666666666663</v>
      </c>
      <c r="I6" s="37">
        <v>0.53819444444444442</v>
      </c>
      <c r="J6" s="46">
        <v>0.66319444444444442</v>
      </c>
      <c r="K6" s="47"/>
      <c r="M6" s="5"/>
      <c r="N6" s="5" t="s">
        <v>17</v>
      </c>
      <c r="O6" s="4">
        <f>Tabla5383940414243[[#This Row],[FECHA]]</f>
        <v>44854</v>
      </c>
      <c r="P6" s="7">
        <f>D6</f>
        <v>0.31458333333333333</v>
      </c>
      <c r="Q6" s="7">
        <f t="shared" si="0"/>
        <v>2.9166666666666674E-2</v>
      </c>
      <c r="R6" s="7">
        <f t="shared" si="0"/>
        <v>3.4722222222222654E-3</v>
      </c>
      <c r="S6" s="7">
        <f t="shared" si="0"/>
        <v>0.15624999999999994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0.125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44855</v>
      </c>
      <c r="D7" s="37">
        <v>0.31597222222222221</v>
      </c>
      <c r="E7" s="37">
        <v>0.33680555555555558</v>
      </c>
      <c r="F7" s="37">
        <v>0.34375</v>
      </c>
      <c r="G7" s="37">
        <v>0.50347222222222221</v>
      </c>
      <c r="H7" s="37">
        <v>0.51041666666666663</v>
      </c>
      <c r="I7" s="37">
        <v>0.53472222222222221</v>
      </c>
      <c r="J7" s="46">
        <v>0.66319444444444442</v>
      </c>
      <c r="K7" s="47"/>
      <c r="M7" s="5"/>
      <c r="N7" s="5" t="s">
        <v>18</v>
      </c>
      <c r="O7" s="4">
        <f>Tabla5383940414243[[#This Row],[FECHA]]</f>
        <v>44855</v>
      </c>
      <c r="P7" s="7">
        <f>D7</f>
        <v>0.31597222222222221</v>
      </c>
      <c r="Q7" s="7">
        <f t="shared" si="0"/>
        <v>2.083333333333337E-2</v>
      </c>
      <c r="R7" s="7">
        <f t="shared" si="0"/>
        <v>6.9444444444444198E-3</v>
      </c>
      <c r="S7" s="7">
        <f t="shared" si="0"/>
        <v>0.15972222222222221</v>
      </c>
      <c r="T7" s="7">
        <f>+Tabla5383940414243[[#This Row],[ALMUERZO]]-Tabla5383940414243[[#This Row],[TERMINO ACT. AM]]</f>
        <v>6.9444444444444198E-3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0.12847222222222221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0.29166666666666663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0.27777777777777773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0.28472222222222221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0.28124999999999994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0.28819444444444442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0.28472222222222221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0.97619047619047605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0.69097222222222221</v>
      </c>
      <c r="F3" s="37">
        <v>0.71875</v>
      </c>
      <c r="G3" s="46">
        <v>0.90277777777777779</v>
      </c>
      <c r="H3" s="46">
        <v>0.91319444444444453</v>
      </c>
      <c r="I3" s="46">
        <v>0.94097222222222221</v>
      </c>
      <c r="J3" s="46">
        <v>0.99305555555555547</v>
      </c>
      <c r="K3" s="47"/>
      <c r="L3" s="53"/>
      <c r="M3" s="53"/>
      <c r="N3" s="57" t="s">
        <v>15</v>
      </c>
      <c r="O3" s="4">
        <f>Tabla538394041424344[[#This Row],[FECHA]]</f>
        <v>44851</v>
      </c>
      <c r="P3" s="7">
        <f>D3</f>
        <v>0.67361111111111116</v>
      </c>
      <c r="Q3" s="7">
        <f>E3-D3</f>
        <v>1.7361111111111049E-2</v>
      </c>
      <c r="R3" s="7">
        <f>F3-E3</f>
        <v>2.777777777777779E-2</v>
      </c>
      <c r="S3" s="7">
        <f>G3-F3</f>
        <v>0.18402777777777779</v>
      </c>
      <c r="T3" s="7">
        <f>+Tabla538394041424344[[#This Row],[ALMUERZO]]-Tabla538394041424344[[#This Row],[TERMINO ACT. AM]]</f>
        <v>1.0416666666666741E-2</v>
      </c>
      <c r="U3" s="7">
        <f>+Tabla538394041424344[[#This Row],[INICIO ACTIVIDADES PM]]-Tabla538394041424344[[#This Row],[ALMUERZO]]</f>
        <v>2.7777777777777679E-2</v>
      </c>
      <c r="V3" s="7">
        <f>+Tabla538394041424344[[#This Row],[TERMINO ACTIVIDADES PM]]-Tabla538394041424344[[#This Row],[INICIO ACTIVIDADES PM]]</f>
        <v>5.2083333333333259E-2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0.72222222222222221</v>
      </c>
      <c r="G4" s="46">
        <v>0.91666666666666663</v>
      </c>
      <c r="H4" s="46">
        <v>0.92361111111111116</v>
      </c>
      <c r="I4" s="46">
        <v>0.94791666666666663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2.7777777777777679E-2</v>
      </c>
      <c r="S4" s="7">
        <f t="shared" si="0"/>
        <v>0.19444444444444442</v>
      </c>
      <c r="T4" s="7">
        <f>+Tabla538394041424344[[#This Row],[ALMUERZO]]-Tabla538394041424344[[#This Row],[TERMINO ACT. AM]]</f>
        <v>6.9444444444445308E-3</v>
      </c>
      <c r="U4" s="7">
        <f>+Tabla538394041424344[[#This Row],[INICIO ACTIVIDADES PM]]-Tabla538394041424344[[#This Row],[ALMUERZO]]</f>
        <v>2.4305555555555469E-2</v>
      </c>
      <c r="V4" s="7">
        <f>+Tabla538394041424344[[#This Row],[TERMINO ACTIVIDADES PM]]-Tabla538394041424344[[#This Row],[INICIO ACTIVIDADES PM]]</f>
        <v>4.513888888888884E-2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44853</v>
      </c>
      <c r="D5" s="37">
        <v>0.67708333333333337</v>
      </c>
      <c r="E5" s="37">
        <v>0.69097222222222221</v>
      </c>
      <c r="F5" s="37">
        <v>0.71388888888888891</v>
      </c>
      <c r="G5" s="46">
        <v>0.9375</v>
      </c>
      <c r="H5" s="46">
        <v>0.94305555555555554</v>
      </c>
      <c r="I5" s="46">
        <v>0.96527777777777779</v>
      </c>
      <c r="J5" s="46">
        <v>0.99305555555555503</v>
      </c>
      <c r="K5" s="47"/>
      <c r="M5" s="5"/>
      <c r="N5" s="5" t="s">
        <v>16</v>
      </c>
      <c r="O5" s="4">
        <f>Tabla538394041424344[[#This Row],[FECHA]]</f>
        <v>44853</v>
      </c>
      <c r="P5" s="7">
        <f>D5</f>
        <v>0.67708333333333337</v>
      </c>
      <c r="Q5" s="7">
        <f t="shared" si="0"/>
        <v>1.388888888888884E-2</v>
      </c>
      <c r="R5" s="7">
        <f t="shared" si="0"/>
        <v>2.2916666666666696E-2</v>
      </c>
      <c r="S5" s="7">
        <f t="shared" si="0"/>
        <v>0.22361111111111109</v>
      </c>
      <c r="T5" s="7">
        <f>+Tabla538394041424344[[#This Row],[ALMUERZO]]-Tabla538394041424344[[#This Row],[TERMINO ACT. AM]]</f>
        <v>5.5555555555555358E-3</v>
      </c>
      <c r="U5" s="7">
        <f>+Tabla538394041424344[[#This Row],[INICIO ACTIVIDADES PM]]-Tabla538394041424344[[#This Row],[ALMUERZO]]</f>
        <v>2.2222222222222254E-2</v>
      </c>
      <c r="V5" s="7">
        <f>+Tabla538394041424344[[#This Row],[TERMINO ACTIVIDADES PM]]-Tabla538394041424344[[#This Row],[INICIO ACTIVIDADES PM]]</f>
        <v>2.7777777777777235E-2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44854</v>
      </c>
      <c r="D6" s="37">
        <v>0.67361111111111105</v>
      </c>
      <c r="E6" s="37">
        <v>0.69097222222222221</v>
      </c>
      <c r="F6" s="37">
        <v>0.72083333333333333</v>
      </c>
      <c r="G6" s="46">
        <v>0.92708333333333337</v>
      </c>
      <c r="H6" s="37">
        <v>0.93402777777777779</v>
      </c>
      <c r="I6" s="46">
        <v>0.95833333333333337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44854</v>
      </c>
      <c r="P6" s="7">
        <f>D6</f>
        <v>0.67361111111111105</v>
      </c>
      <c r="Q6" s="7">
        <f t="shared" si="0"/>
        <v>1.736111111111116E-2</v>
      </c>
      <c r="R6" s="7">
        <f t="shared" si="0"/>
        <v>2.9861111111111116E-2</v>
      </c>
      <c r="S6" s="7">
        <f t="shared" si="0"/>
        <v>0.20625000000000004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2.430555555555558E-2</v>
      </c>
      <c r="V6" s="7">
        <f>+Tabla538394041424344[[#This Row],[TERMINO ACTIVIDADES PM]]-Tabla538394041424344[[#This Row],[INICIO ACTIVIDADES PM]]</f>
        <v>3.4722222222221655E-2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44855</v>
      </c>
      <c r="D7" s="37">
        <v>0.67361111111111105</v>
      </c>
      <c r="E7" s="37">
        <v>0.69097222222222221</v>
      </c>
      <c r="F7" s="37">
        <v>0.71180555555555547</v>
      </c>
      <c r="G7" s="46">
        <v>0.93402777777777779</v>
      </c>
      <c r="H7" s="46">
        <v>0.94097222222222221</v>
      </c>
      <c r="I7" s="46">
        <v>0.96527777777777779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44855</v>
      </c>
      <c r="P7" s="7">
        <f>D7</f>
        <v>0.67361111111111105</v>
      </c>
      <c r="Q7" s="7">
        <f t="shared" si="0"/>
        <v>1.736111111111116E-2</v>
      </c>
      <c r="R7" s="7">
        <f t="shared" si="0"/>
        <v>2.0833333333333259E-2</v>
      </c>
      <c r="S7" s="7">
        <f t="shared" si="0"/>
        <v>0.22222222222222232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2.430555555555558E-2</v>
      </c>
      <c r="V7" s="7">
        <f>+Tabla538394041424344[[#This Row],[TERMINO ACTIVIDADES PM]]-Tabla538394041424344[[#This Row],[INICIO ACTIVIDADES PM]]</f>
        <v>2.7777777777777235E-2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0.23611111111111105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0.23958333333333326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0.25138888888888833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0.2409722222222217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0.24999999999999956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0.24361111111111078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0.97444444444444311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44851</v>
      </c>
      <c r="D3" s="37">
        <v>0.32291666666666669</v>
      </c>
      <c r="E3" s="37">
        <v>0.33333333333333331</v>
      </c>
      <c r="F3" s="37">
        <v>0.36458333333333331</v>
      </c>
      <c r="G3" s="37">
        <v>0.57638888888888895</v>
      </c>
      <c r="H3" s="37">
        <v>0.58333333333333337</v>
      </c>
      <c r="I3" s="37">
        <v>0.60763888888888895</v>
      </c>
      <c r="J3" s="46">
        <v>0.65486111111111112</v>
      </c>
      <c r="K3" s="47"/>
      <c r="L3" s="53"/>
      <c r="M3" s="53"/>
      <c r="N3" s="57" t="s">
        <v>15</v>
      </c>
      <c r="O3" s="4">
        <f>Tabla5383940414243444546[[#This Row],[FECHA]]</f>
        <v>44851</v>
      </c>
      <c r="P3" s="7">
        <f>D3</f>
        <v>0.32291666666666669</v>
      </c>
      <c r="Q3" s="7">
        <f>E3-D3</f>
        <v>1.041666666666663E-2</v>
      </c>
      <c r="R3" s="7">
        <f>F3-E3</f>
        <v>3.125E-2</v>
      </c>
      <c r="S3" s="7">
        <f>G3-F3</f>
        <v>0.21180555555555564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4.7222222222222165E-2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0.3576388888888889</v>
      </c>
      <c r="G4" s="37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2.430555555555558E-2</v>
      </c>
      <c r="S4" s="7">
        <f t="shared" si="0"/>
        <v>0.17708333333333331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3.125E-2</v>
      </c>
      <c r="V4" s="7">
        <f>+Tabla5383940414243444546[[#This Row],[TERMINO ACTIVIDADES PM]]-Tabla5383940414243444546[[#This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0.3576388888888889</v>
      </c>
      <c r="G5" s="37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2.430555555555558E-2</v>
      </c>
      <c r="S5" s="7">
        <f t="shared" si="0"/>
        <v>0.15625000000000006</v>
      </c>
      <c r="T5" s="7">
        <f>+Tabla5383940414243444546[[#This Row],[ALMUERZO]]-Tabla5383940414243444546[[#This Row],[TERMINO ACT. AM]]</f>
        <v>6.9444444444444198E-3</v>
      </c>
      <c r="U5" s="7">
        <f>+Tabla5383940414243444546[[#This Row],[INICIO ACTIVIDADES PM]]-Tabla5383940414243444546[[#This Row],[ALMUERZO]]</f>
        <v>3.125E-2</v>
      </c>
      <c r="V5" s="7">
        <f>+Tabla5383940414243444546[[#This Row],[TERMINO ACTIVIDADES PM]]-Tabla5383940414243444546[[#This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0.35972222222222222</v>
      </c>
      <c r="G6" s="37">
        <v>0.53125</v>
      </c>
      <c r="H6" s="37">
        <v>0.54166666666666663</v>
      </c>
      <c r="I6" s="37">
        <v>0.57291666666666663</v>
      </c>
      <c r="J6" s="46">
        <v>0.65625</v>
      </c>
      <c r="K6" s="47"/>
      <c r="M6" s="5"/>
      <c r="N6" s="5" t="s">
        <v>17</v>
      </c>
      <c r="O6" s="4">
        <f>Tabla5383940414243444546[[#This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2.6388888888888906E-2</v>
      </c>
      <c r="S6" s="7">
        <f t="shared" si="0"/>
        <v>0.17152777777777778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8.333333333333337E-2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0.35416666666666669</v>
      </c>
      <c r="G7" s="37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Tabla5383940414243444546[[#This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2.083333333333337E-2</v>
      </c>
      <c r="S7" s="7">
        <f t="shared" si="0"/>
        <v>0.18055555555555552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2.6388888888888906E-2</v>
      </c>
      <c r="V7" s="7">
        <f>+Tabla5383940414243444546[[#This Row],[TERMINO ACTIVIDADES PM]]-Tabla5383940414243444546[[#This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0.2590277777777778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0.25694444444444448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0.25486111111111115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0.26527777777777778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0.25861111111111112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1.0344444444444445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v>0.25416666666666665</v>
      </c>
      <c r="D2" s="69">
        <f t="shared" ref="D2:D9" si="0">+C2/$C$17</f>
        <v>1.0166666666666666</v>
      </c>
      <c r="F2" s="79"/>
    </row>
    <row r="3" spans="2:16" x14ac:dyDescent="0.3">
      <c r="B3" s="72" t="s">
        <v>56</v>
      </c>
      <c r="C3" s="73">
        <v>0.24236111111111103</v>
      </c>
      <c r="D3" s="69">
        <f t="shared" si="0"/>
        <v>0.96944444444444411</v>
      </c>
      <c r="F3" s="79"/>
    </row>
    <row r="4" spans="2:16" x14ac:dyDescent="0.3">
      <c r="B4" s="72" t="s">
        <v>55</v>
      </c>
      <c r="C4" s="73">
        <v>0.23298611111111098</v>
      </c>
      <c r="D4" s="69">
        <f t="shared" si="0"/>
        <v>0.93194444444444391</v>
      </c>
      <c r="F4" s="79"/>
    </row>
    <row r="5" spans="2:16" x14ac:dyDescent="0.3">
      <c r="B5" s="72" t="s">
        <v>54</v>
      </c>
      <c r="C5" s="73">
        <v>0.24347222222222201</v>
      </c>
      <c r="D5" s="69">
        <f t="shared" si="0"/>
        <v>0.97388888888888803</v>
      </c>
      <c r="F5" s="79"/>
    </row>
    <row r="6" spans="2:16" x14ac:dyDescent="0.3">
      <c r="B6" s="72" t="s">
        <v>58</v>
      </c>
      <c r="C6" s="73">
        <v>0.23944444444444443</v>
      </c>
      <c r="D6" s="69">
        <f t="shared" si="0"/>
        <v>0.95777777777777773</v>
      </c>
      <c r="F6" s="79"/>
    </row>
    <row r="7" spans="2:16" x14ac:dyDescent="0.3">
      <c r="B7" s="72" t="s">
        <v>57</v>
      </c>
      <c r="C7" s="73">
        <v>0.25</v>
      </c>
      <c r="D7" s="69">
        <f t="shared" si="0"/>
        <v>1</v>
      </c>
      <c r="F7" s="79"/>
    </row>
    <row r="8" spans="2:16" x14ac:dyDescent="0.3">
      <c r="B8" s="72" t="s">
        <v>66</v>
      </c>
      <c r="C8" s="73">
        <v>0.26250000000000007</v>
      </c>
      <c r="D8" s="69">
        <f t="shared" si="0"/>
        <v>1.0500000000000003</v>
      </c>
      <c r="F8" s="79"/>
    </row>
    <row r="9" spans="2:16" x14ac:dyDescent="0.3">
      <c r="B9" s="74" t="s">
        <v>92</v>
      </c>
      <c r="C9" s="73">
        <v>0.24236111111111097</v>
      </c>
      <c r="D9" s="69">
        <f t="shared" si="0"/>
        <v>0.96944444444444389</v>
      </c>
      <c r="F9" s="79"/>
    </row>
    <row r="10" spans="2:16" x14ac:dyDescent="0.3">
      <c r="B10" s="72" t="s">
        <v>64</v>
      </c>
      <c r="C10" s="73">
        <v>0.27916666666666662</v>
      </c>
      <c r="D10" s="69">
        <f>+C10/$C$19</f>
        <v>0.95714285714285696</v>
      </c>
      <c r="F10" s="79"/>
    </row>
    <row r="11" spans="2:16" x14ac:dyDescent="0.3">
      <c r="B11" s="72" t="s">
        <v>62</v>
      </c>
      <c r="C11" s="73">
        <v>0.2565277777777778</v>
      </c>
      <c r="D11" s="69">
        <f>+C11/$C$17</f>
        <v>1.0261111111111112</v>
      </c>
      <c r="F11" s="79"/>
      <c r="P11" s="80"/>
    </row>
    <row r="12" spans="2:16" x14ac:dyDescent="0.3">
      <c r="B12" s="72" t="s">
        <v>63</v>
      </c>
      <c r="C12" s="73">
        <v>0.2680555555555556</v>
      </c>
      <c r="D12" s="69">
        <f>+C12/$C$17</f>
        <v>1.0722222222222224</v>
      </c>
      <c r="F12" s="79"/>
    </row>
    <row r="13" spans="2:16" x14ac:dyDescent="0.3">
      <c r="B13" s="72" t="s">
        <v>61</v>
      </c>
      <c r="C13" s="73">
        <v>0.25694444444444448</v>
      </c>
      <c r="D13" s="69">
        <f>+C13/$C$17</f>
        <v>1.0277777777777779</v>
      </c>
      <c r="F13" s="79"/>
    </row>
    <row r="14" spans="2:16" x14ac:dyDescent="0.3">
      <c r="B14" s="72" t="s">
        <v>60</v>
      </c>
      <c r="C14" s="73">
        <v>0.24351851851851844</v>
      </c>
      <c r="D14" s="69">
        <f>+C14/$C$17</f>
        <v>0.97407407407407376</v>
      </c>
      <c r="F14" s="79"/>
    </row>
    <row r="15" spans="2:16" x14ac:dyDescent="0.3">
      <c r="B15" s="72" t="s">
        <v>59</v>
      </c>
      <c r="C15" s="73">
        <v>0.44013888888888869</v>
      </c>
      <c r="D15" s="69">
        <f>+C15/$C$18</f>
        <v>1.0390163934426224</v>
      </c>
      <c r="F15" s="79"/>
    </row>
    <row r="16" spans="2:16" x14ac:dyDescent="0.3">
      <c r="B16" s="72" t="s">
        <v>51</v>
      </c>
      <c r="C16" s="73">
        <f>AVERAGE(C2:C15)</f>
        <v>0.26511739417989416</v>
      </c>
    </row>
    <row r="17" spans="2:4" x14ac:dyDescent="0.3">
      <c r="B17" s="72" t="s">
        <v>52</v>
      </c>
      <c r="C17" s="73">
        <v>0.25</v>
      </c>
      <c r="D17" s="55">
        <f>+AVERAGE(D2:D16)</f>
        <v>0.99753650731695209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A14" sqref="A14:XFD17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2">
        <f>+'TTE 6 '!C3</f>
        <v>44851</v>
      </c>
      <c r="C4" s="193"/>
      <c r="D4" s="193"/>
      <c r="E4" s="194">
        <f>+'TTE 6 '!C4</f>
        <v>44852</v>
      </c>
      <c r="F4" s="195"/>
      <c r="G4" s="195"/>
      <c r="H4" s="196">
        <f>+'TTE 6 '!C5</f>
        <v>44853</v>
      </c>
      <c r="I4" s="197"/>
      <c r="J4" s="198"/>
      <c r="K4" s="194">
        <f>+'TTE 6 '!C6</f>
        <v>44854</v>
      </c>
      <c r="L4" s="195"/>
      <c r="M4" s="195"/>
      <c r="N4" s="186">
        <f>+'TTE 6 '!C7</f>
        <v>44855</v>
      </c>
      <c r="O4" s="187"/>
      <c r="P4" s="199"/>
      <c r="Q4" s="194">
        <f>+'TTE 6 '!C8</f>
        <v>44856</v>
      </c>
      <c r="R4" s="195"/>
      <c r="S4" s="195"/>
      <c r="T4" s="186">
        <f>+'TTE 6 '!C9</f>
        <v>44857</v>
      </c>
      <c r="U4" s="187"/>
      <c r="V4" s="188"/>
      <c r="W4" s="189" t="s">
        <v>107</v>
      </c>
      <c r="X4" s="190"/>
      <c r="Y4" s="191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84" t="s">
        <v>110</v>
      </c>
      <c r="X6" s="182"/>
      <c r="Y6" s="185"/>
    </row>
    <row r="7" spans="1:25" x14ac:dyDescent="0.3">
      <c r="A7" s="96" t="s">
        <v>111</v>
      </c>
      <c r="B7" s="117"/>
      <c r="C7" s="118"/>
      <c r="D7" s="118">
        <f>+'TTE 7'!D3</f>
        <v>0.67361111111111116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3">
      <c r="A8" s="96" t="s">
        <v>112</v>
      </c>
      <c r="B8" s="117"/>
      <c r="C8" s="118"/>
      <c r="D8" s="118">
        <f>+'TTE 7'!J3</f>
        <v>0.99305555555555547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0.99305555555555503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0.23611111111111105</v>
      </c>
      <c r="E9" s="110"/>
      <c r="F9" s="139"/>
      <c r="G9" s="139">
        <f>+'TTE 7'!G17</f>
        <v>0.23958333333333326</v>
      </c>
      <c r="H9" s="127"/>
      <c r="I9" s="128"/>
      <c r="J9" s="128">
        <f>+'TTE 7'!G18</f>
        <v>0.25138888888888833</v>
      </c>
      <c r="K9" s="110"/>
      <c r="L9" s="139"/>
      <c r="M9" s="139">
        <f>+'TTE 7'!G19</f>
        <v>0.2409722222222217</v>
      </c>
      <c r="N9" s="110"/>
      <c r="O9" s="139"/>
      <c r="P9" s="139">
        <f>+'TTE 7'!G20</f>
        <v>0.24999999999999956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0.24361111111111078</v>
      </c>
    </row>
    <row r="10" spans="1:25" ht="16.2" thickBot="1" x14ac:dyDescent="0.35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84" t="s">
        <v>110</v>
      </c>
      <c r="X10" s="182"/>
      <c r="Y10" s="185"/>
    </row>
    <row r="11" spans="1:25" x14ac:dyDescent="0.3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0.67708333333333337</v>
      </c>
      <c r="M11" s="98"/>
      <c r="N11" s="97"/>
      <c r="O11" s="98">
        <f>+'SUB 6'!D7</f>
        <v>0.67708333333333337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0.67500000000000004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0.24861111111111089</v>
      </c>
      <c r="D13" s="118"/>
      <c r="E13" s="110"/>
      <c r="F13" s="98">
        <f>+'SUB 6'!G17</f>
        <v>0.2305555555555554</v>
      </c>
      <c r="G13" s="98"/>
      <c r="H13" s="127"/>
      <c r="I13" s="118">
        <f>+'SUB 6'!G18</f>
        <v>0.22916666666666663</v>
      </c>
      <c r="J13" s="118"/>
      <c r="K13" s="110"/>
      <c r="L13" s="98">
        <f>+'SUB 6'!G19</f>
        <v>0.24305555555555547</v>
      </c>
      <c r="M13" s="98"/>
      <c r="N13" s="110"/>
      <c r="O13" s="98">
        <f>+'SUB 6'!G20</f>
        <v>0.24999999999999989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0.24027777777777767</v>
      </c>
      <c r="Y13" s="153" t="str">
        <f t="shared" si="1"/>
        <v/>
      </c>
    </row>
    <row r="14" spans="1:25" ht="16.2" thickBot="1" x14ac:dyDescent="0.35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84" t="s">
        <v>110</v>
      </c>
      <c r="X14" s="182"/>
      <c r="Y14" s="185"/>
    </row>
    <row r="15" spans="1:25" x14ac:dyDescent="0.3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0.6875</v>
      </c>
      <c r="G15" s="118"/>
      <c r="H15" s="117"/>
      <c r="I15" s="118">
        <f>+'SUB 5'!D5</f>
        <v>0.68055555555555547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0.68055555555555547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0.68333333333333324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0.24652777777777768</v>
      </c>
      <c r="D17" s="119"/>
      <c r="E17" s="127"/>
      <c r="F17" s="118">
        <f>+'SUB 5'!G17</f>
        <v>0.24097222222222214</v>
      </c>
      <c r="G17" s="118"/>
      <c r="H17" s="127"/>
      <c r="I17" s="118">
        <f>+'SUB 5'!G18</f>
        <v>0.24305555555555547</v>
      </c>
      <c r="J17" s="118"/>
      <c r="K17" s="127"/>
      <c r="L17" s="118">
        <f>+'SUB 5'!G19</f>
        <v>0.24513888888888868</v>
      </c>
      <c r="M17" s="118"/>
      <c r="N17" s="127"/>
      <c r="O17" s="118">
        <f>+'SUB 5'!G20</f>
        <v>0.23402777777777772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0.24194444444444435</v>
      </c>
      <c r="Y17" s="150" t="str">
        <f t="shared" si="2"/>
        <v/>
      </c>
    </row>
    <row r="18" spans="1:25" ht="16.2" thickBot="1" x14ac:dyDescent="0.35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84" t="s">
        <v>110</v>
      </c>
      <c r="X18" s="182"/>
      <c r="Y18" s="185"/>
    </row>
    <row r="19" spans="1:25" x14ac:dyDescent="0.3">
      <c r="A19" s="96" t="s">
        <v>111</v>
      </c>
      <c r="B19" s="117"/>
      <c r="C19" s="118">
        <f>+'TTE 6 '!D3</f>
        <v>0.34027777777777773</v>
      </c>
      <c r="D19" s="121"/>
      <c r="E19" s="97"/>
      <c r="F19" s="98">
        <f>+'TTE 6 '!D4</f>
        <v>0.33680555555555558</v>
      </c>
      <c r="G19" s="101"/>
      <c r="H19" s="117"/>
      <c r="I19" s="118">
        <f>+'TTE 6 '!D5</f>
        <v>0.33749999999999997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0.33763888888888888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0.24444444444444419</v>
      </c>
      <c r="D21" s="130"/>
      <c r="E21" s="110"/>
      <c r="F21" s="98">
        <f>+'TTE 6 '!G17</f>
        <v>0.24097222222222203</v>
      </c>
      <c r="G21" s="112"/>
      <c r="H21" s="127"/>
      <c r="I21" s="118">
        <f>+'TTE 6 '!G18</f>
        <v>0.24999999999999972</v>
      </c>
      <c r="J21" s="130"/>
      <c r="K21" s="110"/>
      <c r="L21" s="98">
        <f>+'TTE 6 '!G19</f>
        <v>0.24305555555555536</v>
      </c>
      <c r="M21" s="112"/>
      <c r="N21" s="110"/>
      <c r="O21" s="98">
        <f>+'TTE 6 '!G20</f>
        <v>0.25208333333333338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0.24611111111111095</v>
      </c>
      <c r="Y21" s="116" t="str">
        <f t="shared" si="3"/>
        <v/>
      </c>
    </row>
    <row r="22" spans="1:25" ht="16.2" thickBot="1" x14ac:dyDescent="0.35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84" t="s">
        <v>110</v>
      </c>
      <c r="X22" s="182"/>
      <c r="Y22" s="185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0.92916666666666659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0.23611111111111094</v>
      </c>
      <c r="E25" s="110"/>
      <c r="F25" s="98"/>
      <c r="G25" s="98">
        <f>+DIABLO!G17</f>
        <v>0.24791666666666656</v>
      </c>
      <c r="H25" s="127"/>
      <c r="I25" s="118"/>
      <c r="J25" s="118">
        <f>+DIABLO!G18</f>
        <v>0.25694444444444453</v>
      </c>
      <c r="K25" s="110"/>
      <c r="L25" s="98"/>
      <c r="M25" s="98">
        <f>+DIABLO!G19</f>
        <v>0.24930555555555545</v>
      </c>
      <c r="N25" s="110"/>
      <c r="O25" s="98"/>
      <c r="P25" s="98">
        <f>+DIABLO!G20</f>
        <v>0.23958333333333337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0.24597222222222218</v>
      </c>
    </row>
    <row r="26" spans="1:25" ht="16.2" thickBot="1" x14ac:dyDescent="0.35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84" t="s">
        <v>110</v>
      </c>
      <c r="X26" s="182"/>
      <c r="Y26" s="185"/>
    </row>
    <row r="27" spans="1:25" x14ac:dyDescent="0.3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0.34027777777777773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0.40555555555555556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0.24305555555555552</v>
      </c>
      <c r="D29" s="118"/>
      <c r="E29" s="110"/>
      <c r="F29" s="98">
        <f>+'PIPA N'!G17</f>
        <v>0.23611111111111122</v>
      </c>
      <c r="G29" s="98"/>
      <c r="H29" s="127"/>
      <c r="I29" s="118">
        <f>+'PIPA N'!G18</f>
        <v>0.25347222222222227</v>
      </c>
      <c r="J29" s="118"/>
      <c r="K29" s="110"/>
      <c r="L29" s="98">
        <f>+'PIPA N'!G19</f>
        <v>0.24791666666666667</v>
      </c>
      <c r="M29" s="98"/>
      <c r="N29" s="110"/>
      <c r="O29" s="98">
        <f>+'PIPA N'!G20</f>
        <v>0.24305555555555552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0.24472222222222223</v>
      </c>
      <c r="Y29" s="153" t="str">
        <f t="shared" si="6"/>
        <v/>
      </c>
    </row>
    <row r="30" spans="1:25" ht="16.2" thickBot="1" x14ac:dyDescent="0.35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84" t="s">
        <v>110</v>
      </c>
      <c r="X30" s="182"/>
      <c r="Y30" s="185"/>
    </row>
    <row r="31" spans="1:25" x14ac:dyDescent="0.3">
      <c r="A31" s="96" t="s">
        <v>111</v>
      </c>
      <c r="B31" s="117"/>
      <c r="C31" s="118">
        <f>+'CH colon'!D3</f>
        <v>0.32291666666666669</v>
      </c>
      <c r="D31" s="118"/>
      <c r="E31" s="97"/>
      <c r="F31" s="98">
        <f>+'CH colon'!D4</f>
        <v>0.32291666666666669</v>
      </c>
      <c r="G31" s="98"/>
      <c r="H31" s="117"/>
      <c r="I31" s="118">
        <f>+'CH colon'!D5</f>
        <v>0.31805555555555554</v>
      </c>
      <c r="J31" s="118"/>
      <c r="K31" s="97"/>
      <c r="L31" s="98">
        <f>+'CH colon'!D6</f>
        <v>0.3263888888888889</v>
      </c>
      <c r="M31" s="98"/>
      <c r="N31" s="97"/>
      <c r="O31" s="98">
        <f>+'CH colon'!D7</f>
        <v>0.32222222222222224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0.32250000000000001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0.65486111111111112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0.65625</v>
      </c>
      <c r="M32" s="98"/>
      <c r="N32" s="97"/>
      <c r="O32" s="98">
        <f>+'CH colon'!J7</f>
        <v>0.65277777777777779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0.65388888888888885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0.2590277777777778</v>
      </c>
      <c r="D33" s="118"/>
      <c r="E33" s="110"/>
      <c r="F33" s="98">
        <f>+'CH colon'!G17</f>
        <v>0.25694444444444448</v>
      </c>
      <c r="G33" s="98"/>
      <c r="H33" s="127"/>
      <c r="I33" s="118">
        <f>+'CH colon'!G18</f>
        <v>0.25694444444444448</v>
      </c>
      <c r="J33" s="118"/>
      <c r="K33" s="110"/>
      <c r="L33" s="98">
        <f>+'CH colon'!G19</f>
        <v>0.25486111111111115</v>
      </c>
      <c r="M33" s="98"/>
      <c r="N33" s="110"/>
      <c r="O33" s="98">
        <f>+'CH colon'!G20</f>
        <v>0.26527777777777778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0.25861111111111112</v>
      </c>
      <c r="Y33" s="116" t="str">
        <f t="shared" si="7"/>
        <v/>
      </c>
    </row>
    <row r="34" spans="1:25" ht="16.2" thickBot="1" x14ac:dyDescent="0.35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84" t="s">
        <v>110</v>
      </c>
      <c r="X34" s="182"/>
      <c r="Y34" s="185"/>
    </row>
    <row r="35" spans="1:25" x14ac:dyDescent="0.3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0.34027777777777773</v>
      </c>
      <c r="J35" s="121"/>
      <c r="K35" s="97"/>
      <c r="L35" s="98">
        <f>+Salvataje!D6</f>
        <v>0.33680555555555558</v>
      </c>
      <c r="M35" s="101"/>
      <c r="N35" s="97"/>
      <c r="O35" s="98">
        <f>+Salvataje!D7</f>
        <v>0.34027777777777773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0.33888888888888885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0.65972222222222221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0.65972222222222221</v>
      </c>
      <c r="M36" s="101"/>
      <c r="N36" s="97"/>
      <c r="O36" s="98">
        <f>+Salvataje!J7</f>
        <v>0.65972222222222221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0.65972222222222221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0.23749999999999999</v>
      </c>
      <c r="D37" s="130"/>
      <c r="E37" s="110"/>
      <c r="F37" s="98">
        <f>+Salvataje!G17</f>
        <v>0.24652777777777773</v>
      </c>
      <c r="G37" s="112"/>
      <c r="H37" s="127"/>
      <c r="I37" s="118">
        <f>+Salvataje!G18</f>
        <v>0.24166666666666642</v>
      </c>
      <c r="J37" s="130"/>
      <c r="K37" s="110"/>
      <c r="L37" s="98">
        <f>+Salvataje!G19</f>
        <v>0.23749999999999999</v>
      </c>
      <c r="M37" s="112"/>
      <c r="N37" s="110"/>
      <c r="O37" s="98">
        <f>+Salvataje!G20</f>
        <v>0.24652777777777773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0.24194444444444438</v>
      </c>
      <c r="Y37" s="116" t="str">
        <f t="shared" si="8"/>
        <v/>
      </c>
    </row>
    <row r="38" spans="1:25" ht="16.2" thickBot="1" x14ac:dyDescent="0.35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84" t="s">
        <v>110</v>
      </c>
      <c r="X38" s="182"/>
      <c r="Y38" s="185"/>
    </row>
    <row r="39" spans="1:25" x14ac:dyDescent="0.3">
      <c r="A39" s="96" t="s">
        <v>111</v>
      </c>
      <c r="B39" s="117"/>
      <c r="C39" s="118">
        <f>+'LA JUNTA'!D3</f>
        <v>0.31458333333333333</v>
      </c>
      <c r="D39" s="121"/>
      <c r="E39" s="97"/>
      <c r="F39" s="98">
        <f>+'LA JUNTA'!D4</f>
        <v>0.3125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0.31458333333333333</v>
      </c>
      <c r="M39" s="99"/>
      <c r="N39" s="97"/>
      <c r="O39" s="98">
        <f>+'LA JUNTA'!D7</f>
        <v>0.31597222222222221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0.31402777777777774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0.66666666666666663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0.65972222222222221</v>
      </c>
      <c r="J40" s="119"/>
      <c r="K40" s="97"/>
      <c r="L40" s="98">
        <f>+'LA JUNTA'!J6</f>
        <v>0.66319444444444442</v>
      </c>
      <c r="M40" s="99"/>
      <c r="N40" s="97"/>
      <c r="O40" s="98">
        <f>+'LA JUNTA'!J7</f>
        <v>0.66319444444444442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0.66249999999999998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0.29166666666666663</v>
      </c>
      <c r="D41" s="130"/>
      <c r="E41" s="110"/>
      <c r="F41" s="139">
        <f>+'LA JUNTA'!G17</f>
        <v>0.27777777777777773</v>
      </c>
      <c r="G41" s="99"/>
      <c r="H41" s="127"/>
      <c r="I41" s="128">
        <f>+'LA JUNTA'!G18</f>
        <v>0.28472222222222221</v>
      </c>
      <c r="J41" s="119"/>
      <c r="K41" s="110"/>
      <c r="L41" s="139">
        <f>+'LA JUNTA'!G19</f>
        <v>0.28124999999999994</v>
      </c>
      <c r="M41" s="99"/>
      <c r="N41" s="110"/>
      <c r="O41" s="139">
        <f>+'LA JUNTA'!G20</f>
        <v>0.28819444444444442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0.28472222222222221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84" t="s">
        <v>110</v>
      </c>
      <c r="X42" s="182"/>
      <c r="Y42" s="185"/>
    </row>
    <row r="43" spans="1:25" x14ac:dyDescent="0.3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0.98611111111111116</v>
      </c>
      <c r="D44" s="118"/>
      <c r="E44" s="97"/>
      <c r="F44" s="98">
        <f>+AC!J4</f>
        <v>0.98958333333333337</v>
      </c>
      <c r="G44" s="98"/>
      <c r="H44" s="117"/>
      <c r="I44" s="118">
        <f>+AC!J5</f>
        <v>0.97916666666666663</v>
      </c>
      <c r="J44" s="118"/>
      <c r="K44" s="97"/>
      <c r="L44" s="98">
        <f>+AC!J6</f>
        <v>0.98958333333333337</v>
      </c>
      <c r="M44" s="98"/>
      <c r="N44" s="97"/>
      <c r="O44" s="98">
        <f>+AC!J7</f>
        <v>0.97916666666666663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0.98472222222222228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0.24305555555555547</v>
      </c>
      <c r="D45" s="128"/>
      <c r="E45" s="110"/>
      <c r="F45" s="139">
        <f>+AC!G17</f>
        <v>0.2777777777777779</v>
      </c>
      <c r="G45" s="139"/>
      <c r="H45" s="127"/>
      <c r="I45" s="128">
        <f>+AC!G18</f>
        <v>0.25208333333333321</v>
      </c>
      <c r="J45" s="128"/>
      <c r="K45" s="110"/>
      <c r="L45" s="139">
        <f>+AC!G19</f>
        <v>0.2465277777777779</v>
      </c>
      <c r="M45" s="139"/>
      <c r="N45" s="110"/>
      <c r="O45" s="139">
        <f>+AC!G20</f>
        <v>0.26041666666666663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0.25597222222222216</v>
      </c>
      <c r="Y45" s="115" t="str">
        <f t="shared" si="10"/>
        <v/>
      </c>
    </row>
    <row r="46" spans="1:25" ht="16.2" thickBot="1" x14ac:dyDescent="0.35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84" t="s">
        <v>110</v>
      </c>
      <c r="X46" s="182"/>
      <c r="Y46" s="185"/>
    </row>
    <row r="47" spans="1:25" x14ac:dyDescent="0.3">
      <c r="A47" s="96" t="s">
        <v>111</v>
      </c>
      <c r="B47" s="117"/>
      <c r="C47" s="118"/>
      <c r="D47" s="118">
        <f>+Colec!D3</f>
        <v>0.31597222222222221</v>
      </c>
      <c r="E47" s="117"/>
      <c r="F47" s="118"/>
      <c r="G47" s="118">
        <f>+Colec!D4</f>
        <v>0.32291666666666669</v>
      </c>
      <c r="H47" s="117"/>
      <c r="I47" s="118"/>
      <c r="J47" s="118">
        <f>+Colec!D5</f>
        <v>0.31805555555555554</v>
      </c>
      <c r="K47" s="117"/>
      <c r="L47" s="118"/>
      <c r="M47" s="118">
        <f>+Colec!D6</f>
        <v>0.3263888888888889</v>
      </c>
      <c r="N47" s="117"/>
      <c r="O47" s="118"/>
      <c r="P47" s="118">
        <f>+Colec!D7</f>
        <v>0.32222222222222224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0.32111111111111107</v>
      </c>
    </row>
    <row r="48" spans="1:25" x14ac:dyDescent="0.3">
      <c r="A48" s="96" t="s">
        <v>112</v>
      </c>
      <c r="B48" s="117"/>
      <c r="C48" s="118"/>
      <c r="D48" s="118">
        <f>+Colec!J3</f>
        <v>0.65277777777777779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0.65277777777777779</v>
      </c>
      <c r="K48" s="117"/>
      <c r="L48" s="118"/>
      <c r="M48" s="118">
        <f>+Colec!J6</f>
        <v>0.65625</v>
      </c>
      <c r="N48" s="117"/>
      <c r="O48" s="118"/>
      <c r="P48" s="118">
        <f>+Colec!J7</f>
        <v>0.65277777777777779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0.65347222222222223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0.25000000000000006</v>
      </c>
      <c r="E49" s="127"/>
      <c r="F49" s="118"/>
      <c r="G49" s="118">
        <f>+Colec!G17</f>
        <v>0.25347222222222227</v>
      </c>
      <c r="H49" s="127"/>
      <c r="I49" s="118"/>
      <c r="J49" s="118">
        <f>+Colec!G18</f>
        <v>0.26041666666666669</v>
      </c>
      <c r="K49" s="127"/>
      <c r="L49" s="118"/>
      <c r="M49" s="118">
        <f>+Colec!G19</f>
        <v>0.25347222222222227</v>
      </c>
      <c r="N49" s="127"/>
      <c r="O49" s="118"/>
      <c r="P49" s="118">
        <f>+Colec!G20</f>
        <v>0.25972222222222224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0.25541666666666674</v>
      </c>
    </row>
    <row r="50" spans="1:25" ht="16.2" thickBot="1" x14ac:dyDescent="0.35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84" t="s">
        <v>110</v>
      </c>
      <c r="X50" s="182"/>
      <c r="Y50" s="185"/>
    </row>
    <row r="51" spans="1:25" x14ac:dyDescent="0.3">
      <c r="A51" s="96" t="s">
        <v>111</v>
      </c>
      <c r="B51" s="117"/>
      <c r="C51" s="119">
        <f>+'P M'!D3</f>
        <v>0.30902777777777779</v>
      </c>
      <c r="D51" s="119"/>
      <c r="E51" s="97"/>
      <c r="F51" s="143">
        <f>+'P M'!D4</f>
        <v>0.3125</v>
      </c>
      <c r="G51" s="143"/>
      <c r="H51" s="117"/>
      <c r="I51" s="174">
        <f>+'P M'!D5</f>
        <v>0.3125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0.31163194444444442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0.65625</v>
      </c>
      <c r="J52" s="118"/>
      <c r="K52" s="97"/>
      <c r="L52" s="98">
        <f>+'P M'!J6</f>
        <v>0.65277777777777801</v>
      </c>
      <c r="M52" s="98"/>
      <c r="N52" s="97"/>
      <c r="O52" s="98"/>
      <c r="P52" s="98">
        <f>+'P M'!J7</f>
        <v>0.65625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0.65364583333333337</v>
      </c>
      <c r="Y52" s="107">
        <f t="shared" si="12"/>
        <v>0.65625</v>
      </c>
    </row>
    <row r="53" spans="1:25" ht="16.2" thickBot="1" x14ac:dyDescent="0.35">
      <c r="A53" s="109" t="s">
        <v>113</v>
      </c>
      <c r="B53" s="127"/>
      <c r="C53" s="119">
        <f>+'P M'!G16</f>
        <v>0.25694444444444448</v>
      </c>
      <c r="D53" s="119"/>
      <c r="E53" s="110"/>
      <c r="F53" s="139">
        <f>+'P M'!G17</f>
        <v>0.24999999999999994</v>
      </c>
      <c r="G53" s="139"/>
      <c r="H53" s="127"/>
      <c r="I53" s="128">
        <f>+'P M'!G18</f>
        <v>0.25972222222222213</v>
      </c>
      <c r="J53" s="128"/>
      <c r="K53" s="110"/>
      <c r="L53" s="139">
        <f>+'P M'!G19</f>
        <v>0.24583333333333351</v>
      </c>
      <c r="M53" s="139"/>
      <c r="N53" s="110"/>
      <c r="O53" s="139"/>
      <c r="P53" s="139">
        <f>+'P M'!G20</f>
        <v>0.25694444444444448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0.25312500000000004</v>
      </c>
      <c r="Y53" s="115">
        <f t="shared" si="12"/>
        <v>0.25694444444444448</v>
      </c>
    </row>
    <row r="54" spans="1:25" ht="16.2" thickBot="1" x14ac:dyDescent="0.35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84" t="s">
        <v>110</v>
      </c>
      <c r="X54" s="182"/>
      <c r="Y54" s="185"/>
    </row>
    <row r="55" spans="1:25" x14ac:dyDescent="0.3">
      <c r="A55" s="96" t="s">
        <v>111</v>
      </c>
      <c r="B55" s="117"/>
      <c r="C55" s="118"/>
      <c r="D55" s="118">
        <f>+'Vent '!D3</f>
        <v>0.30902777777777779</v>
      </c>
      <c r="E55" s="117"/>
      <c r="F55" s="118"/>
      <c r="G55" s="118">
        <f>+'Vent '!D4</f>
        <v>0.3125</v>
      </c>
      <c r="H55" s="117"/>
      <c r="I55" s="118"/>
      <c r="J55" s="118">
        <f>+'Vent '!G5</f>
        <v>0.54166666666666663</v>
      </c>
      <c r="K55" s="117"/>
      <c r="L55" s="118"/>
      <c r="M55" s="118">
        <f>+'Vent '!D6</f>
        <v>0.3125</v>
      </c>
      <c r="N55" s="117"/>
      <c r="O55" s="118"/>
      <c r="P55" s="118">
        <f>+'Vent '!D7</f>
        <v>0.3125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0.3576388888888889</v>
      </c>
    </row>
    <row r="56" spans="1:25" x14ac:dyDescent="0.3">
      <c r="A56" s="96" t="s">
        <v>112</v>
      </c>
      <c r="B56" s="117"/>
      <c r="C56" s="118"/>
      <c r="D56" s="118">
        <f>+'Vent '!J3</f>
        <v>0.65277777777777779</v>
      </c>
      <c r="E56" s="117"/>
      <c r="F56" s="118"/>
      <c r="G56" s="118">
        <f>+'Vent '!J4</f>
        <v>0.65277777777777779</v>
      </c>
      <c r="H56" s="117"/>
      <c r="I56" s="118"/>
      <c r="J56" s="118">
        <f>+'Vent '!J5</f>
        <v>0.65277777777777779</v>
      </c>
      <c r="K56" s="117"/>
      <c r="L56" s="118"/>
      <c r="M56" s="118">
        <f>+'Vent '!J6</f>
        <v>0.65277777777777801</v>
      </c>
      <c r="N56" s="117"/>
      <c r="O56" s="118"/>
      <c r="P56" s="118">
        <f>+'Vent '!J7</f>
        <v>0.65625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0.65347222222222234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0.25</v>
      </c>
      <c r="E57" s="127"/>
      <c r="F57" s="118"/>
      <c r="G57" s="118">
        <f>+'Vent '!G17</f>
        <v>0.25347222222222227</v>
      </c>
      <c r="H57" s="127"/>
      <c r="I57" s="118"/>
      <c r="J57" s="118">
        <f>+'Vent '!G18</f>
        <v>0.25347222222222215</v>
      </c>
      <c r="K57" s="127"/>
      <c r="L57" s="118"/>
      <c r="M57" s="118">
        <f>+'Vent '!G19</f>
        <v>0.23888888888888909</v>
      </c>
      <c r="N57" s="127"/>
      <c r="O57" s="118"/>
      <c r="P57" s="118">
        <f>+'Vent '!G20</f>
        <v>0.24652777777777779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0.24847222222222226</v>
      </c>
    </row>
    <row r="58" spans="1:25" ht="16.2" thickBot="1" x14ac:dyDescent="0.35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84" t="s">
        <v>110</v>
      </c>
      <c r="X58" s="182"/>
      <c r="Y58" s="183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0.33472222222222225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0.4555555555555556</v>
      </c>
      <c r="D61" s="130"/>
      <c r="E61" s="110"/>
      <c r="F61" s="139">
        <f>+ACCU!G17</f>
        <v>0.45138888888888895</v>
      </c>
      <c r="G61" s="112"/>
      <c r="H61" s="127"/>
      <c r="I61" s="128">
        <f>+ACCU!G18</f>
        <v>0.45347222222222194</v>
      </c>
      <c r="J61" s="130"/>
      <c r="K61" s="110"/>
      <c r="L61" s="139">
        <f>+ACCU!G19</f>
        <v>0.43888888888888861</v>
      </c>
      <c r="M61" s="112"/>
      <c r="N61" s="110"/>
      <c r="O61" s="139">
        <f>+ACCU!G20</f>
        <v>0.44583333333333303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0.44902777777777764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abSelected="1" topLeftCell="B1" workbookViewId="0">
      <selection activeCell="X17" sqref="X17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5">
        <f>'TTE 6 '!C3</f>
        <v>44851</v>
      </c>
      <c r="D7" s="206"/>
      <c r="E7" s="206"/>
      <c r="F7" s="205">
        <f>+'TTE 6 '!C4</f>
        <v>44852</v>
      </c>
      <c r="G7" s="206"/>
      <c r="H7" s="206"/>
      <c r="I7" s="205">
        <f>'TTE 6 '!C5</f>
        <v>44853</v>
      </c>
      <c r="J7" s="206"/>
      <c r="K7" s="206"/>
      <c r="L7" s="205">
        <f>'TTE 6 '!C6</f>
        <v>44854</v>
      </c>
      <c r="M7" s="206"/>
      <c r="N7" s="206"/>
      <c r="O7" s="205">
        <f>+'TTE 6 '!C7</f>
        <v>44855</v>
      </c>
      <c r="P7" s="206"/>
      <c r="Q7" s="206"/>
      <c r="R7" s="205">
        <f>'TTE 6 '!C8</f>
        <v>44856</v>
      </c>
      <c r="S7" s="206"/>
      <c r="T7" s="206"/>
      <c r="U7" s="205">
        <f>'TTE 6 '!C9</f>
        <v>44857</v>
      </c>
      <c r="V7" s="206"/>
      <c r="W7" s="206"/>
      <c r="X7" s="210" t="s">
        <v>107</v>
      </c>
      <c r="Y7" s="211"/>
      <c r="Z7" s="212"/>
      <c r="AA7" s="203" t="s">
        <v>122</v>
      </c>
      <c r="AC7" s="207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04"/>
      <c r="AC8" s="208"/>
    </row>
    <row r="9" spans="2:29" ht="16.2" thickBot="1" x14ac:dyDescent="0.35">
      <c r="B9" s="157" t="s">
        <v>123</v>
      </c>
      <c r="C9" s="200" t="s">
        <v>124</v>
      </c>
      <c r="D9" s="201"/>
      <c r="E9" s="202"/>
      <c r="F9" s="200" t="s">
        <v>124</v>
      </c>
      <c r="G9" s="201"/>
      <c r="H9" s="202"/>
      <c r="I9" s="200" t="s">
        <v>124</v>
      </c>
      <c r="J9" s="201"/>
      <c r="K9" s="202"/>
      <c r="L9" s="200" t="s">
        <v>124</v>
      </c>
      <c r="M9" s="201"/>
      <c r="N9" s="202"/>
      <c r="O9" s="200" t="s">
        <v>124</v>
      </c>
      <c r="P9" s="201"/>
      <c r="Q9" s="202"/>
      <c r="R9" s="200" t="s">
        <v>124</v>
      </c>
      <c r="S9" s="201"/>
      <c r="T9" s="202"/>
      <c r="U9" s="200" t="s">
        <v>124</v>
      </c>
      <c r="V9" s="201"/>
      <c r="W9" s="202"/>
      <c r="X9" s="200" t="s">
        <v>124</v>
      </c>
      <c r="Y9" s="201"/>
      <c r="Z9" s="201"/>
      <c r="AA9" s="158" t="s">
        <v>125</v>
      </c>
      <c r="AC9" s="209"/>
    </row>
    <row r="10" spans="2:29" ht="28.2" thickBot="1" x14ac:dyDescent="0.35">
      <c r="B10" s="159" t="s">
        <v>126</v>
      </c>
      <c r="C10" s="167"/>
      <c r="D10" s="168">
        <v>0</v>
      </c>
      <c r="E10" s="169">
        <v>2</v>
      </c>
      <c r="F10" s="167"/>
      <c r="G10" s="168">
        <v>0</v>
      </c>
      <c r="H10" s="169">
        <v>2</v>
      </c>
      <c r="I10" s="167"/>
      <c r="J10" s="168">
        <v>0</v>
      </c>
      <c r="K10" s="169">
        <v>6</v>
      </c>
      <c r="L10" s="167"/>
      <c r="M10" s="168">
        <v>0</v>
      </c>
      <c r="N10" s="169">
        <v>4</v>
      </c>
      <c r="O10" s="167"/>
      <c r="P10" s="168">
        <v>0</v>
      </c>
      <c r="Q10" s="169">
        <v>1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15</v>
      </c>
      <c r="AA10" s="173">
        <f>X10+Y10+Z10</f>
        <v>15</v>
      </c>
      <c r="AB10">
        <f>(AA10*100)/AC10</f>
        <v>100</v>
      </c>
      <c r="AC10" s="175">
        <v>15</v>
      </c>
    </row>
    <row r="11" spans="2:29" ht="28.2" thickBot="1" x14ac:dyDescent="0.35">
      <c r="B11" s="160" t="s">
        <v>127</v>
      </c>
      <c r="C11" s="164"/>
      <c r="D11" s="165">
        <v>0</v>
      </c>
      <c r="E11" s="166">
        <v>4</v>
      </c>
      <c r="F11" s="164"/>
      <c r="G11" s="165">
        <v>0</v>
      </c>
      <c r="H11" s="166">
        <v>5</v>
      </c>
      <c r="I11" s="164"/>
      <c r="J11" s="165">
        <v>0</v>
      </c>
      <c r="K11" s="166">
        <v>3</v>
      </c>
      <c r="L11" s="164"/>
      <c r="M11" s="165">
        <v>0</v>
      </c>
      <c r="N11" s="166">
        <v>5</v>
      </c>
      <c r="O11" s="164"/>
      <c r="P11" s="165">
        <v>0</v>
      </c>
      <c r="Q11" s="166">
        <v>2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19</v>
      </c>
      <c r="AA11" s="172">
        <f>X11+Y11+Z11</f>
        <v>19</v>
      </c>
      <c r="AB11">
        <f>(AA11*100)/AC11</f>
        <v>126.66666666666667</v>
      </c>
      <c r="AC11" s="176">
        <v>15</v>
      </c>
    </row>
  </sheetData>
  <mergeCells count="18"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  <mergeCell ref="C7:E7"/>
    <mergeCell ref="C9:E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I8" sqref="I8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44851</v>
      </c>
      <c r="D3" s="37">
        <v>0.68402777777777779</v>
      </c>
      <c r="E3" s="37">
        <v>0.71180555555555547</v>
      </c>
      <c r="F3" s="37">
        <v>0.71527777777777779</v>
      </c>
      <c r="G3" s="46">
        <v>0.94444444444444453</v>
      </c>
      <c r="H3" s="46">
        <v>0.95138888888888884</v>
      </c>
      <c r="I3" s="46">
        <v>0.97569444444444453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44851</v>
      </c>
      <c r="P3" s="7">
        <f>D3</f>
        <v>0.68402777777777779</v>
      </c>
      <c r="Q3" s="7">
        <f>E3-D3</f>
        <v>2.7777777777777679E-2</v>
      </c>
      <c r="R3" s="7">
        <f>F3-E3</f>
        <v>3.4722222222223209E-3</v>
      </c>
      <c r="S3" s="7">
        <f>G3-F3</f>
        <v>0.22916666666666674</v>
      </c>
      <c r="T3" s="7">
        <f>+Tabla513[[#This Row],[ALMUERZO]]-Tabla513[[#This Row],[TERMINO ACT. AM]]</f>
        <v>6.9444444444443088E-3</v>
      </c>
      <c r="U3" s="7">
        <f>+Tabla513[[#This Row],[INICIO ACTIVIDADES PM]]-Tabla513[[#This Row],[ALMUERZO]]</f>
        <v>2.4305555555555691E-2</v>
      </c>
      <c r="V3" s="7">
        <f>+Tabla513[[#This Row],[TERMINO ACTIVIDADES PM]]-Tabla513[[#This Row],[INICIO ACTIVIDADES PM]]</f>
        <v>1.7361111111110938E-2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44852</v>
      </c>
      <c r="D4" s="37">
        <v>0.6875</v>
      </c>
      <c r="E4" s="37">
        <v>0.70486111111111116</v>
      </c>
      <c r="F4" s="37">
        <v>0.72083333333333333</v>
      </c>
      <c r="G4" s="46">
        <v>0.94097222222222221</v>
      </c>
      <c r="H4" s="46">
        <v>0.94791666666666663</v>
      </c>
      <c r="I4" s="46">
        <v>0.97222222222222221</v>
      </c>
      <c r="J4" s="46">
        <v>0.99305555555555547</v>
      </c>
      <c r="K4" s="47" t="s">
        <v>129</v>
      </c>
      <c r="M4" s="5"/>
      <c r="N4" s="5" t="s">
        <v>16</v>
      </c>
      <c r="O4" s="4">
        <f>Tabla513[[#This Row],[FECHA]]</f>
        <v>44852</v>
      </c>
      <c r="P4" s="7">
        <f>D4</f>
        <v>0.6875</v>
      </c>
      <c r="Q4" s="7">
        <f t="shared" ref="Q4:S7" si="0">E4-D4</f>
        <v>1.736111111111116E-2</v>
      </c>
      <c r="R4" s="7">
        <f t="shared" si="0"/>
        <v>1.5972222222222165E-2</v>
      </c>
      <c r="S4" s="7">
        <f t="shared" si="0"/>
        <v>0.22013888888888888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44853</v>
      </c>
      <c r="D5" s="37">
        <v>0.68055555555555547</v>
      </c>
      <c r="E5" s="37">
        <v>0.70138888888888884</v>
      </c>
      <c r="F5" s="37">
        <v>0.71875</v>
      </c>
      <c r="G5" s="46">
        <v>0.94791666666666663</v>
      </c>
      <c r="H5" s="46">
        <v>0.95486111111111116</v>
      </c>
      <c r="I5" s="46">
        <v>0.97916666666666663</v>
      </c>
      <c r="J5" s="46">
        <v>0.99305555555555547</v>
      </c>
      <c r="K5" s="47" t="s">
        <v>129</v>
      </c>
      <c r="M5" s="5"/>
      <c r="N5" s="5" t="s">
        <v>16</v>
      </c>
      <c r="O5" s="4">
        <f>Tabla513[[#This Row],[FECHA]]</f>
        <v>44853</v>
      </c>
      <c r="P5" s="7">
        <f>D5</f>
        <v>0.68055555555555547</v>
      </c>
      <c r="Q5" s="7">
        <f t="shared" si="0"/>
        <v>2.083333333333337E-2</v>
      </c>
      <c r="R5" s="7">
        <f t="shared" si="0"/>
        <v>1.736111111111116E-2</v>
      </c>
      <c r="S5" s="7">
        <f t="shared" si="0"/>
        <v>0.22916666666666663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44854</v>
      </c>
      <c r="D6" s="37">
        <v>0.68402777777777779</v>
      </c>
      <c r="E6" s="37">
        <v>0.71180555555555547</v>
      </c>
      <c r="F6" s="37">
        <v>0.71875</v>
      </c>
      <c r="G6" s="46">
        <v>0.94097222222222221</v>
      </c>
      <c r="H6" s="37">
        <v>0.94791666666666663</v>
      </c>
      <c r="I6" s="46">
        <v>0.97013888888888899</v>
      </c>
      <c r="J6" s="46">
        <v>0.99305555555555547</v>
      </c>
      <c r="K6" s="47" t="s">
        <v>129</v>
      </c>
      <c r="M6" s="5"/>
      <c r="N6" s="5" t="s">
        <v>17</v>
      </c>
      <c r="O6" s="4">
        <f>Tabla513[[#This Row],[FECHA]]</f>
        <v>44854</v>
      </c>
      <c r="P6" s="7">
        <f>D6</f>
        <v>0.68402777777777779</v>
      </c>
      <c r="Q6" s="7">
        <f t="shared" si="0"/>
        <v>2.7777777777777679E-2</v>
      </c>
      <c r="R6" s="7">
        <f t="shared" si="0"/>
        <v>6.9444444444445308E-3</v>
      </c>
      <c r="S6" s="7">
        <f t="shared" si="0"/>
        <v>0.22222222222222221</v>
      </c>
      <c r="T6" s="7">
        <f>+Tabla513[[#This Row],[ALMUERZO]]-Tabla513[[#This Row],[TERMINO ACT. AM]]</f>
        <v>6.9444444444444198E-3</v>
      </c>
      <c r="U6" s="7">
        <f>+Tabla513[[#This Row],[INICIO ACTIVIDADES PM]]-Tabla513[[#This Row],[ALMUERZO]]</f>
        <v>2.2222222222222365E-2</v>
      </c>
      <c r="V6" s="7">
        <f>+Tabla513[[#This Row],[TERMINO ACTIVIDADES PM]]-Tabla513[[#This Row],[INICIO ACTIVIDADES PM]]</f>
        <v>2.2916666666666474E-2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44855</v>
      </c>
      <c r="D7" s="37">
        <v>0.68055555555555547</v>
      </c>
      <c r="E7" s="37">
        <v>0.70277777777777783</v>
      </c>
      <c r="F7" s="37">
        <v>0.72777777777777775</v>
      </c>
      <c r="G7" s="46">
        <v>0.94444444444444453</v>
      </c>
      <c r="H7" s="46">
        <v>0.95486111111111116</v>
      </c>
      <c r="I7" s="46">
        <v>0.97569444444444453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44855</v>
      </c>
      <c r="P7" s="7">
        <f>D7</f>
        <v>0.68055555555555547</v>
      </c>
      <c r="Q7" s="7">
        <f t="shared" si="0"/>
        <v>2.2222222222222365E-2</v>
      </c>
      <c r="R7" s="7">
        <f t="shared" si="0"/>
        <v>2.4999999999999911E-2</v>
      </c>
      <c r="S7" s="7">
        <f t="shared" si="0"/>
        <v>0.21666666666666679</v>
      </c>
      <c r="T7" s="7">
        <f>+Tabla513[[#This Row],[ALMUERZO]]-Tabla513[[#This Row],[TERMINO ACT. AM]]</f>
        <v>1.041666666666663E-2</v>
      </c>
      <c r="U7" s="7">
        <f>+Tabla513[[#This Row],[INICIO ACTIVIDADES PM]]-Tabla513[[#This Row],[ALMUERZO]]</f>
        <v>2.083333333333337E-2</v>
      </c>
      <c r="V7" s="7">
        <f>+Tabla513[[#This Row],[TERMINO ACTIVIDADES PM]]-Tabla513[[#This Row],[INICIO ACTIVIDADES PM]]</f>
        <v>1.7361111111110938E-2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0.24652777777777768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0.24097222222222214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0.24305555555555547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0.24513888888888868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0.23402777777777772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0.24194444444444435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0.9677777777777774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G6" sqref="G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0.69791666666666663</v>
      </c>
      <c r="F3" s="37">
        <v>0.71666666666666667</v>
      </c>
      <c r="G3" s="37">
        <v>0.94791666666666663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44851</v>
      </c>
      <c r="P3" s="7">
        <f>D3</f>
        <v>0.67361111111111116</v>
      </c>
      <c r="Q3" s="7">
        <f>E3-D3</f>
        <v>2.4305555555555469E-2</v>
      </c>
      <c r="R3" s="7">
        <f>F3-E3</f>
        <v>1.8750000000000044E-2</v>
      </c>
      <c r="S3" s="7">
        <f>G3-F3</f>
        <v>0.23124999999999996</v>
      </c>
      <c r="T3" s="7">
        <f>+Tabla51334[[#This Row],[ALMUERZO]]-Tabla51334[[#This Row],[TERMINO ACT. AM]]</f>
        <v>6.9444444444445308E-3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0.69791666666666663</v>
      </c>
      <c r="F4" s="37">
        <v>0.73125000000000007</v>
      </c>
      <c r="G4" s="37">
        <v>0.94444444444444453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44852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3.3333333333333437E-2</v>
      </c>
      <c r="S4" s="7">
        <f t="shared" si="0"/>
        <v>0.21319444444444446</v>
      </c>
      <c r="T4" s="7">
        <f>+Tabla51334[[#This Row],[ALMUERZO]]-Tabla51334[[#This Row],[TERMINO ACT. AM]]</f>
        <v>1.041666666666663E-2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0.69791666666666663</v>
      </c>
      <c r="F5" s="37">
        <v>0.73541666666666661</v>
      </c>
      <c r="G5" s="37">
        <v>0.9472222222222223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44853</v>
      </c>
      <c r="P5" s="7">
        <f>D5</f>
        <v>0.67361111111111116</v>
      </c>
      <c r="Q5" s="7">
        <f t="shared" si="0"/>
        <v>2.4305555555555469E-2</v>
      </c>
      <c r="R5" s="7">
        <f t="shared" si="0"/>
        <v>3.7499999999999978E-2</v>
      </c>
      <c r="S5" s="7">
        <f t="shared" si="0"/>
        <v>0.21180555555555569</v>
      </c>
      <c r="T5" s="7">
        <f>+Tabla51334[[#This Row],[ALMUERZO]]-Tabla51334[[#This Row],[TERMINO ACT. AM]]</f>
        <v>7.6388888888888618E-3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44854</v>
      </c>
      <c r="D6" s="37">
        <v>0.67708333333333337</v>
      </c>
      <c r="E6" s="37">
        <v>0.70138888888888884</v>
      </c>
      <c r="F6" s="37">
        <v>0.71875</v>
      </c>
      <c r="G6" s="37">
        <v>0.94097222222222221</v>
      </c>
      <c r="H6" s="37">
        <v>0.95138888888888884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44854</v>
      </c>
      <c r="P6" s="7">
        <f>D6</f>
        <v>0.67708333333333337</v>
      </c>
      <c r="Q6" s="7">
        <f t="shared" si="0"/>
        <v>2.4305555555555469E-2</v>
      </c>
      <c r="R6" s="7">
        <f t="shared" si="0"/>
        <v>1.736111111111116E-2</v>
      </c>
      <c r="S6" s="7">
        <f t="shared" si="0"/>
        <v>0.22222222222222221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44855</v>
      </c>
      <c r="D7" s="37">
        <v>0.67708333333333337</v>
      </c>
      <c r="E7" s="37">
        <v>0.70486111111111116</v>
      </c>
      <c r="F7" s="37">
        <v>0.70833333333333337</v>
      </c>
      <c r="G7" s="46">
        <v>0.9375</v>
      </c>
      <c r="H7" s="37">
        <v>0.94791666666666663</v>
      </c>
      <c r="I7" s="37">
        <v>0.97222222222222221</v>
      </c>
      <c r="J7" s="46">
        <v>0.99305555555555547</v>
      </c>
      <c r="K7" s="47"/>
      <c r="M7" s="5"/>
      <c r="N7" s="5" t="s">
        <v>18</v>
      </c>
      <c r="O7" s="4">
        <f>Tabla51334[[#This Row],[FECHA]]</f>
        <v>44855</v>
      </c>
      <c r="P7" s="7">
        <f>D7</f>
        <v>0.67708333333333337</v>
      </c>
      <c r="Q7" s="7">
        <f t="shared" si="0"/>
        <v>2.777777777777779E-2</v>
      </c>
      <c r="R7" s="7">
        <f t="shared" si="0"/>
        <v>3.4722222222222099E-3</v>
      </c>
      <c r="S7" s="7">
        <f t="shared" si="0"/>
        <v>0.22916666666666663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2.430555555555558E-2</v>
      </c>
      <c r="V7" s="7">
        <f>+Tabla51334[[#This Row],[TERMINO ACTIVIDADES PM]]-Tabla51334[[#This Row],[INICIO ACTIVIDADES PM]]</f>
        <v>2.0833333333333259E-2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0.24861111111111089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0.2305555555555554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0.22916666666666663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0.24027777777777767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0.96111111111111069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I6" sqref="I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44851</v>
      </c>
      <c r="D3" s="37">
        <v>0.34027777777777773</v>
      </c>
      <c r="E3" s="37">
        <v>0.37152777777777773</v>
      </c>
      <c r="F3" s="37">
        <v>0.38541666666666669</v>
      </c>
      <c r="G3" s="37">
        <v>0.60763888888888895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44851</v>
      </c>
      <c r="P3" s="7">
        <f>D3</f>
        <v>0.34027777777777773</v>
      </c>
      <c r="Q3" s="7">
        <f>E3-D3</f>
        <v>3.125E-2</v>
      </c>
      <c r="R3" s="7">
        <f>F3-E3</f>
        <v>1.3888888888888951E-2</v>
      </c>
      <c r="S3" s="7">
        <f>G3-F3</f>
        <v>0.22222222222222227</v>
      </c>
      <c r="T3" s="7">
        <f>+Tabla536[[#This Row],[ALMUERZO]]-Tabla536[[#This Row],[TERMINO ACT. AM]]</f>
        <v>6.9444444444444198E-3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0.37847222222222227</v>
      </c>
      <c r="F4" s="37">
        <v>0.3888888888888889</v>
      </c>
      <c r="G4" s="37">
        <v>0.60763888888888895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44852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1.041666666666663E-2</v>
      </c>
      <c r="S4" s="7">
        <f t="shared" si="0"/>
        <v>0.21875000000000006</v>
      </c>
      <c r="T4" s="7">
        <f>+Tabla536[[#This Row],[ALMUERZO]]-Tabla536[[#This Row],[TERMINO ACT. AM]]</f>
        <v>1.041666666666663E-2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0.36805555555555558</v>
      </c>
      <c r="F5" s="37">
        <v>0.37847222222222227</v>
      </c>
      <c r="G5" s="37">
        <v>0.61458333333333337</v>
      </c>
      <c r="H5" s="37">
        <v>0.62152777777777779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44853</v>
      </c>
      <c r="P5" s="7">
        <f>D5</f>
        <v>0.34027777777777773</v>
      </c>
      <c r="Q5" s="7">
        <f t="shared" si="0"/>
        <v>2.7777777777777846E-2</v>
      </c>
      <c r="R5" s="7">
        <f t="shared" si="0"/>
        <v>1.0416666666666685E-2</v>
      </c>
      <c r="S5" s="7">
        <f t="shared" si="0"/>
        <v>0.2361111111111111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2.0833333333333259E-2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44854</v>
      </c>
      <c r="D6" s="37">
        <v>0.34375</v>
      </c>
      <c r="E6" s="37">
        <v>0.37152777777777773</v>
      </c>
      <c r="F6" s="37">
        <v>0.38055555555555554</v>
      </c>
      <c r="G6" s="37">
        <v>0.62152777777777779</v>
      </c>
      <c r="H6" s="37">
        <v>0.62847222222222221</v>
      </c>
      <c r="I6" s="37">
        <v>0.65277777777777779</v>
      </c>
      <c r="J6" s="46">
        <v>0.65972222222222221</v>
      </c>
      <c r="K6" s="47"/>
      <c r="M6" s="5"/>
      <c r="N6" s="5" t="s">
        <v>17</v>
      </c>
      <c r="O6" s="4">
        <f>Tabla536[[#This Row],[FECHA]]</f>
        <v>44854</v>
      </c>
      <c r="P6" s="7">
        <f>D6</f>
        <v>0.34375</v>
      </c>
      <c r="Q6" s="7">
        <f t="shared" si="0"/>
        <v>2.7777777777777735E-2</v>
      </c>
      <c r="R6" s="7">
        <f t="shared" si="0"/>
        <v>9.0277777777778012E-3</v>
      </c>
      <c r="S6" s="7">
        <f t="shared" si="0"/>
        <v>0.24097222222222225</v>
      </c>
      <c r="T6" s="7">
        <f>+Tabla536[[#This Row],[ALMUERZO]]-Tabla536[[#This Row],[TERMINO ACT. AM]]</f>
        <v>6.9444444444444198E-3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6.9444444444444198E-3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44855</v>
      </c>
      <c r="D7" s="37">
        <v>0.34375</v>
      </c>
      <c r="E7" s="37">
        <v>0.375</v>
      </c>
      <c r="F7" s="37">
        <v>0.38541666666666669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44855</v>
      </c>
      <c r="P7" s="7">
        <f>D7</f>
        <v>0.34375</v>
      </c>
      <c r="Q7" s="7">
        <f t="shared" si="0"/>
        <v>3.125E-2</v>
      </c>
      <c r="R7" s="7">
        <f t="shared" si="0"/>
        <v>1.0416666666666685E-2</v>
      </c>
      <c r="S7" s="7">
        <f t="shared" si="0"/>
        <v>0.21874999999999994</v>
      </c>
      <c r="T7" s="7">
        <f>+Tabla536[[#This Row],[ALMUERZO]]-Tabla536[[#This Row],[TERMINO ACT. AM]]</f>
        <v>6.9444444444444198E-3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0.24305555555555552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0.23611111111111122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0.25347222222222227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0.24791666666666667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0.24305555555555552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0.24472222222222223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0.97888888888888892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103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G7" sqref="G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0.69166666666666676</v>
      </c>
      <c r="F3" s="37">
        <v>0.72569444444444453</v>
      </c>
      <c r="G3" s="37">
        <v>0.93055555555555547</v>
      </c>
      <c r="H3" s="37">
        <v>0.9375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44851</v>
      </c>
      <c r="P3" s="7">
        <f>D3</f>
        <v>0.67361111111111116</v>
      </c>
      <c r="Q3" s="7">
        <f>E3-D3</f>
        <v>1.8055555555555602E-2</v>
      </c>
      <c r="R3" s="7">
        <f>F3-E3</f>
        <v>3.4027777777777768E-2</v>
      </c>
      <c r="S3" s="7">
        <f>G3-F3</f>
        <v>0.20486111111111094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0.71875</v>
      </c>
      <c r="G4" s="37">
        <v>0.95138888888888884</v>
      </c>
      <c r="H4" s="37">
        <v>0.95486111111111116</v>
      </c>
      <c r="I4" s="37">
        <v>0.97777777777777775</v>
      </c>
      <c r="J4" s="46">
        <v>0.99305555555555547</v>
      </c>
      <c r="K4" s="47"/>
      <c r="M4" s="5"/>
      <c r="N4" s="5" t="s">
        <v>16</v>
      </c>
      <c r="O4" s="4">
        <f>Tabla537[[#This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2.4305555555555469E-2</v>
      </c>
      <c r="S4" s="7">
        <f t="shared" si="0"/>
        <v>0.23263888888888884</v>
      </c>
      <c r="T4" s="7">
        <f>+Tabla537[[#This Row],[ALMUERZO]]-Tabla537[[#This Row],[TERMINO ACT. AM]]</f>
        <v>3.4722222222223209E-3</v>
      </c>
      <c r="U4" s="7">
        <f>+Tabla537[[#This Row],[INICIO ACTIVIDADES PM]]-Tabla537[[#This Row],[ALMUERZO]]</f>
        <v>2.2916666666666585E-2</v>
      </c>
      <c r="V4" s="7">
        <f>+Tabla537[[#This Row],[TERMINO ACTIVIDADES PM]]-Tabla537[[#This Row],[INICIO ACTIVIDADES PM]]</f>
        <v>1.5277777777777724E-2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0.69097222222222221</v>
      </c>
      <c r="F5" s="37">
        <v>0.71180555555555547</v>
      </c>
      <c r="G5" s="37">
        <v>0.95486111111111116</v>
      </c>
      <c r="H5" s="37">
        <v>0.95833333333333337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44853</v>
      </c>
      <c r="P5" s="7">
        <f>D5</f>
        <v>0.67361111111111116</v>
      </c>
      <c r="Q5" s="7">
        <f t="shared" si="0"/>
        <v>1.7361111111111049E-2</v>
      </c>
      <c r="R5" s="7">
        <f t="shared" si="0"/>
        <v>2.0833333333333259E-2</v>
      </c>
      <c r="S5" s="7">
        <f t="shared" si="0"/>
        <v>0.24305555555555569</v>
      </c>
      <c r="T5" s="7">
        <f>+Tabla537[[#This Row],[ALMUERZO]]-Tabla537[[#This Row],[TERMINO ACT. AM]]</f>
        <v>3.4722222222222099E-3</v>
      </c>
      <c r="U5" s="7">
        <f>+Tabla537[[#This Row],[INICIO ACTIVIDADES PM]]-Tabla537[[#This Row],[ALMUERZO]]</f>
        <v>2.0833333333333259E-2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44854</v>
      </c>
      <c r="D6" s="37">
        <v>0.67361111111111116</v>
      </c>
      <c r="E6" s="37">
        <v>0.69236111111111109</v>
      </c>
      <c r="F6" s="37">
        <v>0.71388888888888891</v>
      </c>
      <c r="G6" s="37">
        <v>0.92847222222222225</v>
      </c>
      <c r="H6" s="37">
        <v>0.93611111111111101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44854</v>
      </c>
      <c r="P6" s="7">
        <f>D6</f>
        <v>0.67361111111111116</v>
      </c>
      <c r="Q6" s="7">
        <f t="shared" si="0"/>
        <v>1.8749999999999933E-2</v>
      </c>
      <c r="R6" s="7">
        <f t="shared" si="0"/>
        <v>2.1527777777777812E-2</v>
      </c>
      <c r="S6" s="7">
        <f t="shared" si="0"/>
        <v>0.21458333333333335</v>
      </c>
      <c r="T6" s="7">
        <f>+Tabla537[[#This Row],[ALMUERZO]]-Tabla537[[#This Row],[TERMINO ACT. AM]]</f>
        <v>7.6388888888887507E-3</v>
      </c>
      <c r="U6" s="7">
        <f>+Tabla537[[#This Row],[INICIO ACTIVIDADES PM]]-Tabla537[[#This Row],[ALMUERZO]]</f>
        <v>2.2222222222222365E-2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44855</v>
      </c>
      <c r="D7" s="37">
        <v>0.67361111111111116</v>
      </c>
      <c r="E7" s="37">
        <v>0.69305555555555554</v>
      </c>
      <c r="F7" s="37">
        <v>0.72430555555555554</v>
      </c>
      <c r="G7" s="37">
        <v>0.94444444444444453</v>
      </c>
      <c r="H7" s="37">
        <v>0.95138888888888884</v>
      </c>
      <c r="I7" s="37">
        <v>0.97361111111111109</v>
      </c>
      <c r="J7" s="46">
        <v>0.99305555555555547</v>
      </c>
      <c r="K7" s="47"/>
      <c r="M7" s="5"/>
      <c r="N7" s="5" t="s">
        <v>18</v>
      </c>
      <c r="O7" s="4">
        <f>Tabla537[[#This Row],[FECHA]]</f>
        <v>44855</v>
      </c>
      <c r="P7" s="7">
        <f>D7</f>
        <v>0.67361111111111116</v>
      </c>
      <c r="Q7" s="7">
        <f t="shared" si="0"/>
        <v>1.9444444444444375E-2</v>
      </c>
      <c r="R7" s="7">
        <f t="shared" si="0"/>
        <v>3.125E-2</v>
      </c>
      <c r="S7" s="7">
        <f t="shared" si="0"/>
        <v>0.22013888888888899</v>
      </c>
      <c r="T7" s="7">
        <f>+Tabla537[[#This Row],[ALMUERZO]]-Tabla537[[#This Row],[TERMINO ACT. AM]]</f>
        <v>6.9444444444443088E-3</v>
      </c>
      <c r="U7" s="7">
        <f>+Tabla537[[#This Row],[INICIO ACTIVIDADES PM]]-Tabla537[[#This Row],[ALMUERZO]]</f>
        <v>2.2222222222222254E-2</v>
      </c>
      <c r="V7" s="7">
        <f>+Tabla537[[#This Row],[TERMINO ACTIVIDADES PM]]-Tabla537[[#This Row],[INICIO ACTIVIDADES PM]]</f>
        <v>1.9444444444444375E-2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0.23611111111111094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0.24791666666666656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0.25694444444444453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0.24930555555555545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0.23958333333333337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0.24597222222222218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0.9838888888888887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104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4" sqref="F4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44851</v>
      </c>
      <c r="D3" s="37">
        <v>0.33333333333333331</v>
      </c>
      <c r="E3" s="37">
        <v>0.34375</v>
      </c>
      <c r="F3" s="37">
        <v>0.35347222222222219</v>
      </c>
      <c r="G3" s="37">
        <v>0.54166666666666663</v>
      </c>
      <c r="H3" s="37">
        <v>0.54513888888888895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44851</v>
      </c>
      <c r="P3" s="7">
        <f>D3</f>
        <v>0.33333333333333331</v>
      </c>
      <c r="Q3" s="7">
        <f>E3-D3</f>
        <v>1.0416666666666685E-2</v>
      </c>
      <c r="R3" s="7">
        <f>F3-E3</f>
        <v>9.7222222222221877E-3</v>
      </c>
      <c r="S3" s="7">
        <f>G3-F3</f>
        <v>0.18819444444444444</v>
      </c>
      <c r="T3" s="7">
        <f>+Tabla538[[#This Row],[ALMUERZO]]-Tabla538[[#This Row],[TERMINO ACT. AM]]</f>
        <v>3.4722222222223209E-3</v>
      </c>
      <c r="U3" s="7">
        <f>+Tabla538[[#This Row],[INICIO ACTIVIDADES PM]]-Tabla538[[#This Row],[ALMUERZO]]</f>
        <v>2.0833333333333259E-2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44852</v>
      </c>
      <c r="D4" s="37">
        <v>0.33333333333333331</v>
      </c>
      <c r="E4" s="37">
        <v>0.34375</v>
      </c>
      <c r="F4" s="37">
        <v>0.35069444444444442</v>
      </c>
      <c r="G4" s="37">
        <v>0.53125</v>
      </c>
      <c r="H4" s="37">
        <v>0.53472222222222221</v>
      </c>
      <c r="I4" s="37">
        <v>0.5625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44852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6.9444444444444198E-3</v>
      </c>
      <c r="S4" s="7">
        <f t="shared" si="0"/>
        <v>0.18055555555555558</v>
      </c>
      <c r="T4" s="7">
        <f>+Tabla538[[#This Row],[ALMUERZO]]-Tabla538[[#This Row],[TERMINO ACT. AM]]</f>
        <v>3.4722222222222099E-3</v>
      </c>
      <c r="U4" s="7">
        <f>+Tabla538[[#This Row],[INICIO ACTIVIDADES PM]]-Tabla538[[#This Row],[ALMUERZO]]</f>
        <v>2.777777777777779E-2</v>
      </c>
      <c r="V4" s="7">
        <f>+Tabla538[[#This Row],[TERMINO ACTIVIDADES PM]]-Tabla538[[#This Row],[INICIO ACTIVIDADES PM]]</f>
        <v>0.27083333333333337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44853</v>
      </c>
      <c r="D5" s="37">
        <v>0.33680555555555558</v>
      </c>
      <c r="E5" s="37">
        <v>0.34722222222222227</v>
      </c>
      <c r="F5" s="37">
        <v>0.3520833333333333</v>
      </c>
      <c r="G5" s="37">
        <v>0.54166666666666663</v>
      </c>
      <c r="H5" s="37">
        <v>0.54861111111111105</v>
      </c>
      <c r="I5" s="37">
        <v>0.56944444444444442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44853</v>
      </c>
      <c r="P5" s="7">
        <f>D5</f>
        <v>0.33680555555555558</v>
      </c>
      <c r="Q5" s="7">
        <f t="shared" si="0"/>
        <v>1.0416666666666685E-2</v>
      </c>
      <c r="R5" s="7">
        <f t="shared" si="0"/>
        <v>4.8611111111110383E-3</v>
      </c>
      <c r="S5" s="7">
        <f t="shared" si="0"/>
        <v>0.18958333333333333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0.26388888888888862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44854</v>
      </c>
      <c r="D6" s="37">
        <v>0.33680555555555558</v>
      </c>
      <c r="E6" s="37">
        <v>0.34722222222222227</v>
      </c>
      <c r="F6" s="37">
        <v>0.35416666666666669</v>
      </c>
      <c r="G6" s="37">
        <v>0.52916666666666667</v>
      </c>
      <c r="H6" s="37">
        <v>0.53819444444444442</v>
      </c>
      <c r="I6" s="37">
        <v>0.56944444444444442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44854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0.17499999999999999</v>
      </c>
      <c r="T6" s="7">
        <f>+Tabla538[[#This Row],[ALMUERZO]]-Tabla538[[#This Row],[TERMINO ACT. AM]]</f>
        <v>9.0277777777777457E-3</v>
      </c>
      <c r="U6" s="7">
        <f>+Tabla538[[#This Row],[INICIO ACTIVIDADES PM]]-Tabla538[[#This Row],[ALMUERZO]]</f>
        <v>3.125E-2</v>
      </c>
      <c r="V6" s="7">
        <f>+Tabla538[[#This Row],[TERMINO ACTIVIDADES PM]]-Tabla538[[#This Row],[INICIO ACTIVIDADES PM]]</f>
        <v>0.26388888888888862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44855</v>
      </c>
      <c r="D7" s="37">
        <v>0.33333333333333331</v>
      </c>
      <c r="E7" s="37">
        <v>0.34375</v>
      </c>
      <c r="F7" s="37">
        <v>0.3527777777777778</v>
      </c>
      <c r="G7" s="37">
        <v>0.53472222222222221</v>
      </c>
      <c r="H7" s="37">
        <v>0.54166666666666663</v>
      </c>
      <c r="I7" s="37">
        <v>0.56944444444444442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44855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0.18194444444444441</v>
      </c>
      <c r="T7" s="7">
        <f>+Tabla538[[#This Row],[ALMUERZO]]-Tabla538[[#This Row],[TERMINO ACT. AM]]</f>
        <v>6.9444444444444198E-3</v>
      </c>
      <c r="U7" s="7">
        <f>+Tabla538[[#This Row],[INICIO ACTIVIDADES PM]]-Tabla538[[#This Row],[ALMUERZO]]</f>
        <v>2.777777777777779E-2</v>
      </c>
      <c r="V7" s="7">
        <f>+Tabla538[[#This Row],[TERMINO ACTIVIDADES PM]]-Tabla538[[#This Row],[INICIO ACTIVIDADES PM]]</f>
        <v>0.26388888888888862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0.4555555555555556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0.45138888888888895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0.45347222222222194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0.43888888888888861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0.44583333333333303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0.44902777777777764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1.0599999999999996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103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0.33680555555555558</v>
      </c>
      <c r="E3" s="37">
        <v>0.37847222222222227</v>
      </c>
      <c r="F3" s="37">
        <v>0.38750000000000001</v>
      </c>
      <c r="G3" s="37">
        <v>0.59375</v>
      </c>
      <c r="H3" s="37">
        <v>0.60069444444444442</v>
      </c>
      <c r="I3" s="37">
        <v>0.62847222222222221</v>
      </c>
      <c r="J3" s="46">
        <v>0.65972222222222221</v>
      </c>
      <c r="K3" s="47"/>
      <c r="L3" s="53"/>
      <c r="M3" s="53"/>
      <c r="N3" s="57" t="s">
        <v>15</v>
      </c>
      <c r="O3" s="4">
        <f>Tabla53[[#This Row],[FECHA]]</f>
        <v>44851</v>
      </c>
      <c r="P3" s="7">
        <f>D3</f>
        <v>0.33680555555555558</v>
      </c>
      <c r="Q3" s="7">
        <f>E3-D3</f>
        <v>4.1666666666666685E-2</v>
      </c>
      <c r="R3" s="7">
        <f>F3-E3</f>
        <v>9.0277777777777457E-3</v>
      </c>
      <c r="S3" s="7">
        <f>G3-F3</f>
        <v>0.20624999999999999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2.777777777777779E-2</v>
      </c>
      <c r="V3" s="7">
        <f>+Tabla53[[#This Row],[TERMINO ACTIVIDADES PM]]-Tabla53[[#This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0.37152777777777773</v>
      </c>
      <c r="F4" s="37">
        <v>0.38541666666666669</v>
      </c>
      <c r="G4" s="37">
        <v>0.59722222222222221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44852</v>
      </c>
      <c r="P4" s="7">
        <f>D4</f>
        <v>0.34027777777777773</v>
      </c>
      <c r="Q4" s="7">
        <f t="shared" ref="Q4:S7" si="0">E4-D4</f>
        <v>3.125E-2</v>
      </c>
      <c r="R4" s="7">
        <f t="shared" si="0"/>
        <v>1.3888888888888951E-2</v>
      </c>
      <c r="S4" s="7">
        <f t="shared" si="0"/>
        <v>0.21180555555555552</v>
      </c>
      <c r="T4" s="7">
        <f>+Tabla53[[#This Row],[ALMUERZO]]-Tabla53[[#This Row],[TERMINO ACT. AM]]</f>
        <v>3.4722222222222099E-3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0.375</v>
      </c>
      <c r="F5" s="37">
        <v>0.38680555555555557</v>
      </c>
      <c r="G5" s="37">
        <v>0.58680555555555558</v>
      </c>
      <c r="H5" s="37">
        <v>0.59027777777777779</v>
      </c>
      <c r="I5" s="37">
        <v>0.61805555555555558</v>
      </c>
      <c r="J5" s="46">
        <v>0.65972222222222199</v>
      </c>
      <c r="K5" s="47"/>
      <c r="M5" s="5"/>
      <c r="N5" s="5" t="s">
        <v>16</v>
      </c>
      <c r="O5" s="4">
        <f>Tabla53[[#This Row],[FECHA]]</f>
        <v>44853</v>
      </c>
      <c r="P5" s="7">
        <f>D5</f>
        <v>0.34027777777777773</v>
      </c>
      <c r="Q5" s="7">
        <f t="shared" si="0"/>
        <v>3.4722222222222265E-2</v>
      </c>
      <c r="R5" s="7">
        <f t="shared" si="0"/>
        <v>1.1805555555555569E-2</v>
      </c>
      <c r="S5" s="7">
        <f t="shared" si="0"/>
        <v>0.2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4.1666666666666408E-2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>
        <v>0.33680555555555558</v>
      </c>
      <c r="E6" s="37">
        <v>0.37847222222222227</v>
      </c>
      <c r="F6" s="37">
        <v>0.38750000000000001</v>
      </c>
      <c r="G6" s="37">
        <v>0.59375</v>
      </c>
      <c r="H6" s="37">
        <v>0.60069444444444442</v>
      </c>
      <c r="I6" s="37">
        <v>0.62847222222222221</v>
      </c>
      <c r="J6" s="46">
        <v>0.65972222222222221</v>
      </c>
      <c r="K6" s="47"/>
      <c r="M6" s="5"/>
      <c r="N6" s="5" t="s">
        <v>17</v>
      </c>
      <c r="O6" s="4">
        <f>Tabla53[[#This Row],[FECHA]]</f>
        <v>44854</v>
      </c>
      <c r="P6" s="7">
        <f>D6</f>
        <v>0.33680555555555558</v>
      </c>
      <c r="Q6" s="7">
        <f t="shared" si="0"/>
        <v>4.1666666666666685E-2</v>
      </c>
      <c r="R6" s="7">
        <f t="shared" si="0"/>
        <v>9.0277777777777457E-3</v>
      </c>
      <c r="S6" s="7">
        <f t="shared" si="0"/>
        <v>0.20624999999999999</v>
      </c>
      <c r="T6" s="7">
        <f>+Tabla53[[#This Row],[ALMUERZO]]-Tabla53[[#This Row],[TERMINO ACT. AM]]</f>
        <v>6.9444444444444198E-3</v>
      </c>
      <c r="U6" s="7">
        <f>+Tabla53[[#This Row],[INICIO ACTIVIDADES PM]]-Tabla53[[#This Row],[ALMUERZO]]</f>
        <v>2.777777777777779E-2</v>
      </c>
      <c r="V6" s="7">
        <f>+Tabla53[[#This Row],[TERMINO ACTIVIDADES PM]]-Tabla53[[#This Row],[INICIO ACTIVIDADES PM]]</f>
        <v>3.125E-2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>
        <v>0.34027777777777773</v>
      </c>
      <c r="E7" s="37">
        <v>0.37361111111111112</v>
      </c>
      <c r="F7" s="37">
        <v>0.38541666666666669</v>
      </c>
      <c r="G7" s="37">
        <v>0.59722222222222221</v>
      </c>
      <c r="H7" s="37">
        <v>0.60069444444444442</v>
      </c>
      <c r="I7" s="37">
        <v>0.625</v>
      </c>
      <c r="J7" s="46">
        <v>0.65972222222222221</v>
      </c>
      <c r="K7" s="47"/>
      <c r="M7" s="5"/>
      <c r="N7" s="5" t="s">
        <v>18</v>
      </c>
      <c r="O7" s="4">
        <f>Tabla53[[#This Row],[FECHA]]</f>
        <v>44855</v>
      </c>
      <c r="P7" s="7">
        <f>D7</f>
        <v>0.34027777777777773</v>
      </c>
      <c r="Q7" s="7">
        <f t="shared" si="0"/>
        <v>3.3333333333333381E-2</v>
      </c>
      <c r="R7" s="7">
        <f t="shared" si="0"/>
        <v>1.1805555555555569E-2</v>
      </c>
      <c r="S7" s="7">
        <f t="shared" si="0"/>
        <v>0.21180555555555552</v>
      </c>
      <c r="T7" s="7">
        <f>+Tabla53[[#This Row],[ALMUERZO]]-Tabla53[[#This Row],[TERMINO ACT. AM]]</f>
        <v>3.4722222222222099E-3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3.472222222222221E-2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0.23749999999999999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0.24652777777777773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0.24166666666666642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0.23749999999999999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0.24652777777777773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0.24194444444444438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0.96777777777777751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7" t="s">
        <v>105</v>
      </c>
      <c r="K27" s="178" t="s">
        <v>103</v>
      </c>
      <c r="T27" s="3"/>
    </row>
    <row r="28" spans="1:20" ht="15.6" customHeight="1" x14ac:dyDescent="0.3">
      <c r="J28" s="177"/>
      <c r="K28" s="179"/>
      <c r="T28" s="3"/>
    </row>
    <row r="29" spans="1:20" ht="15.6" customHeight="1" x14ac:dyDescent="0.3">
      <c r="J29" s="177"/>
      <c r="K29" s="179"/>
      <c r="T29" s="3"/>
    </row>
    <row r="30" spans="1:20" ht="15.6" customHeight="1" x14ac:dyDescent="0.3">
      <c r="J30" s="177"/>
      <c r="K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0.30902777777777779</v>
      </c>
      <c r="E3" s="37">
        <v>0.33333333333333331</v>
      </c>
      <c r="F3" s="37">
        <v>0.36805555555555558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81" t="s">
        <v>94</v>
      </c>
      <c r="L3" s="53"/>
      <c r="M3" s="53"/>
      <c r="N3" s="57" t="s">
        <v>15</v>
      </c>
      <c r="O3" s="4">
        <f>Tabla53839[[#This Row],[FECHA]]</f>
        <v>44851</v>
      </c>
      <c r="P3" s="7">
        <f>D3</f>
        <v>0.30902777777777779</v>
      </c>
      <c r="Q3" s="7">
        <f>E3-D3</f>
        <v>2.4305555555555525E-2</v>
      </c>
      <c r="R3" s="7">
        <f>F3-E3</f>
        <v>3.4722222222222265E-2</v>
      </c>
      <c r="S3" s="7">
        <f>G3-F3</f>
        <v>0.20138888888888884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2.7777777777777679E-2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0.3611111111111111</v>
      </c>
      <c r="G4" s="37">
        <v>0.50347222222222221</v>
      </c>
      <c r="H4" s="37">
        <v>0.51041666666666663</v>
      </c>
      <c r="I4" s="37">
        <v>0.54166666666666663</v>
      </c>
      <c r="J4" s="46">
        <v>0.65277777777777779</v>
      </c>
      <c r="K4" s="81" t="s">
        <v>94</v>
      </c>
      <c r="M4" s="5"/>
      <c r="N4" s="5" t="s">
        <v>16</v>
      </c>
      <c r="O4" s="4">
        <f>Tabla53839[[#This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1.7361111111111105E-2</v>
      </c>
      <c r="S4" s="7">
        <f t="shared" si="0"/>
        <v>0.1423611111111111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0.11111111111111116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0.3576388888888889</v>
      </c>
      <c r="G5" s="37">
        <v>0.54166666666666663</v>
      </c>
      <c r="H5" s="37">
        <v>0.54861111111111105</v>
      </c>
      <c r="I5" s="37">
        <v>0.58333333333333337</v>
      </c>
      <c r="J5" s="46">
        <v>0.65277777777777779</v>
      </c>
      <c r="K5" s="81" t="s">
        <v>94</v>
      </c>
      <c r="M5" s="5"/>
      <c r="N5" s="5" t="s">
        <v>16</v>
      </c>
      <c r="O5" s="4">
        <f>Tabla53839[[#This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1.736111111111116E-2</v>
      </c>
      <c r="S5" s="7">
        <f t="shared" si="0"/>
        <v>0.18402777777777773</v>
      </c>
      <c r="T5" s="7">
        <f>+Tabla53839[[#This Row],[ALMUERZO]]-Tabla53839[[#This Row],[TERMINO ACT. AM]]</f>
        <v>6.9444444444444198E-3</v>
      </c>
      <c r="U5" s="7">
        <f>+Tabla53839[[#This Row],[INICIO ACTIVIDADES PM]]-Tabla53839[[#This Row],[ALMUERZO]]</f>
        <v>3.4722222222222321E-2</v>
      </c>
      <c r="V5" s="7">
        <f>+Tabla53839[[#This Row],[TERMINO ACTIVIDADES PM]]-Tabla53839[[#This Row],[INICIO ACTIVIDADES PM]]</f>
        <v>6.944444444444442E-2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0.35833333333333334</v>
      </c>
      <c r="G6" s="37">
        <v>0.55208333333333337</v>
      </c>
      <c r="H6" s="37">
        <v>0.5625</v>
      </c>
      <c r="I6" s="37">
        <v>0.60763888888888895</v>
      </c>
      <c r="J6" s="46">
        <v>0.65277777777777801</v>
      </c>
      <c r="K6" s="81" t="s">
        <v>94</v>
      </c>
      <c r="M6" s="5"/>
      <c r="N6" s="5" t="s">
        <v>17</v>
      </c>
      <c r="O6" s="4">
        <f>Tabla53839[[#This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1.1111111111111072E-2</v>
      </c>
      <c r="S6" s="7">
        <f t="shared" si="0"/>
        <v>0.19375000000000003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4.5138888888888951E-2</v>
      </c>
      <c r="V6" s="7">
        <f>+Tabla53839[[#This Row],[TERMINO ACTIVIDADES PM]]-Tabla53839[[#This Row],[INICIO ACTIVIDADES PM]]</f>
        <v>4.5138888888889062E-2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0.36805555555555558</v>
      </c>
      <c r="G7" s="37">
        <v>0.5</v>
      </c>
      <c r="H7" s="37">
        <v>0.51041666666666663</v>
      </c>
      <c r="I7" s="37">
        <v>0.54166666666666663</v>
      </c>
      <c r="J7" s="46">
        <v>0.65625</v>
      </c>
      <c r="K7" s="81" t="s">
        <v>94</v>
      </c>
      <c r="M7" s="5"/>
      <c r="N7" s="5" t="s">
        <v>18</v>
      </c>
      <c r="O7" s="4">
        <f>Tabla53839[[#This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2.7777777777777846E-2</v>
      </c>
      <c r="S7" s="7">
        <f t="shared" si="0"/>
        <v>0.13194444444444442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3.125E-2</v>
      </c>
      <c r="V7" s="7">
        <f>+Tabla53839[[#This Row],[TERMINO ACTIVIDADES PM]]-Tabla53839[[#This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0.25347222222222215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0.23888888888888909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0.24847222222222226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0.99388888888888904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8" sqref="I8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44851</v>
      </c>
      <c r="D3" s="37">
        <v>0.30902777777777779</v>
      </c>
      <c r="E3" s="37">
        <v>0.33333333333333331</v>
      </c>
      <c r="F3" s="37">
        <v>0.3611111111111111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44851</v>
      </c>
      <c r="P3" s="7">
        <f>D3</f>
        <v>0.30902777777777779</v>
      </c>
      <c r="Q3" s="7">
        <f>E3-D3</f>
        <v>2.4305555555555525E-2</v>
      </c>
      <c r="R3" s="7">
        <f>F3-E3</f>
        <v>2.777777777777779E-2</v>
      </c>
      <c r="S3" s="7">
        <f>G3-F3</f>
        <v>0.20833333333333331</v>
      </c>
      <c r="T3" s="7">
        <f>+Tabla5383940[[#This Row],[ALMUERZO]]-Tabla5383940[[#This Row],[TERMINO ACT. AM]]</f>
        <v>6.9444444444445308E-3</v>
      </c>
      <c r="U3" s="7">
        <f>+Tabla5383940[[#This Row],[INICIO ACTIVIDADES PM]]-Tabla5383940[[#This Row],[ALMUERZO]]</f>
        <v>2.7777777777777679E-2</v>
      </c>
      <c r="V3" s="7">
        <f>+Tabla5383940[[#This Row],[TERMINO ACTIVIDADES PM]]-Tabla5383940[[#This Row],[INICIO ACTIVIDADES PM]]</f>
        <v>4.861111111111116E-2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0.3576388888888889</v>
      </c>
      <c r="G4" s="37">
        <v>0.53819444444444442</v>
      </c>
      <c r="H4" s="37">
        <v>0.55208333333333337</v>
      </c>
      <c r="I4" s="37">
        <v>0.58333333333333337</v>
      </c>
      <c r="J4" s="46">
        <v>0.65277777777777779</v>
      </c>
      <c r="K4" s="47"/>
      <c r="M4" s="5"/>
      <c r="N4" s="5" t="s">
        <v>16</v>
      </c>
      <c r="O4" s="4">
        <f>Tabla5383940[[#This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1.3888888888888895E-2</v>
      </c>
      <c r="S4" s="7">
        <f t="shared" si="0"/>
        <v>0.18055555555555552</v>
      </c>
      <c r="T4" s="7">
        <f>+Tabla5383940[[#This Row],[ALMUERZO]]-Tabla5383940[[#This Row],[TERMINO ACT. AM]]</f>
        <v>1.3888888888888951E-2</v>
      </c>
      <c r="U4" s="7">
        <f>+Tabla5383940[[#This Row],[INICIO ACTIVIDADES PM]]-Tabla5383940[[#This Row],[ALMUERZO]]</f>
        <v>3.125E-2</v>
      </c>
      <c r="V4" s="7">
        <f>+Tabla5383940[[#This Row],[TERMINO ACTIVIDADES PM]]-Tabla5383940[[#This Row],[INICIO ACTIVIDADES PM]]</f>
        <v>6.944444444444442E-2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0.35138888888888892</v>
      </c>
      <c r="G5" s="37">
        <v>0.54166666666666663</v>
      </c>
      <c r="H5" s="37">
        <v>0.54861111111111105</v>
      </c>
      <c r="I5" s="37">
        <v>0.58680555555555558</v>
      </c>
      <c r="J5" s="46">
        <v>0.65625</v>
      </c>
      <c r="K5" s="47"/>
      <c r="M5" s="5"/>
      <c r="N5" s="5" t="s">
        <v>16</v>
      </c>
      <c r="O5" s="4">
        <f>Tabla5383940[[#This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1.1111111111111183E-2</v>
      </c>
      <c r="S5" s="7">
        <f t="shared" si="0"/>
        <v>0.19027777777777771</v>
      </c>
      <c r="T5" s="7">
        <f>+Tabla5383940[[#This Row],[ALMUERZO]]-Tabla5383940[[#This Row],[TERMINO ACT. AM]]</f>
        <v>6.9444444444444198E-3</v>
      </c>
      <c r="U5" s="7">
        <f>+Tabla5383940[[#This Row],[INICIO ACTIVIDADES PM]]-Tabla5383940[[#This Row],[ALMUERZO]]</f>
        <v>3.8194444444444531E-2</v>
      </c>
      <c r="V5" s="7">
        <f>+Tabla5383940[[#This Row],[TERMINO ACTIVIDADES PM]]-Tabla5383940[[#This Row],[INICIO ACTIVIDADES PM]]</f>
        <v>6.944444444444442E-2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0.35138888888888892</v>
      </c>
      <c r="G6" s="37">
        <v>0.55208333333333337</v>
      </c>
      <c r="H6" s="37">
        <v>0.5625</v>
      </c>
      <c r="I6" s="37">
        <v>0.60763888888888895</v>
      </c>
      <c r="J6" s="46">
        <v>0.65277777777777801</v>
      </c>
      <c r="K6" s="47"/>
      <c r="M6" s="5"/>
      <c r="N6" s="5" t="s">
        <v>17</v>
      </c>
      <c r="O6" s="4">
        <f>Tabla5383940[[#This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4.1666666666666519E-3</v>
      </c>
      <c r="S6" s="7">
        <f t="shared" si="0"/>
        <v>0.20069444444444445</v>
      </c>
      <c r="T6" s="7">
        <f>+Tabla5383940[[#This Row],[ALMUERZO]]-Tabla5383940[[#This Row],[TERMINO ACT. AM]]</f>
        <v>1.041666666666663E-2</v>
      </c>
      <c r="U6" s="7">
        <f>+Tabla5383940[[#This Row],[INICIO ACTIVIDADES PM]]-Tabla5383940[[#This Row],[ALMUERZO]]</f>
        <v>4.5138888888888951E-2</v>
      </c>
      <c r="V6" s="7">
        <f>+Tabla5383940[[#This Row],[TERMINO ACTIVIDADES PM]]-Tabla5383940[[#This Row],[INICIO ACTIVIDADES PM]]</f>
        <v>4.5138888888889062E-2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0.3576388888888889</v>
      </c>
      <c r="G7" s="37">
        <v>0.54513888888888895</v>
      </c>
      <c r="H7" s="37">
        <v>0.55555555555555558</v>
      </c>
      <c r="I7" s="37">
        <v>0.58680555555555558</v>
      </c>
      <c r="J7" s="46">
        <v>0.65625</v>
      </c>
      <c r="K7" s="47"/>
      <c r="M7" s="5"/>
      <c r="N7" s="5" t="s">
        <v>18</v>
      </c>
      <c r="O7" s="4">
        <f>Tabla5383940[[#This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1.736111111111116E-2</v>
      </c>
      <c r="S7" s="7">
        <f t="shared" si="0"/>
        <v>0.18750000000000006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6.944444444444442E-2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0.24999999999999994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0.25972222222222213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0.25388888888888894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1.0155555555555558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2022-11-07T14:33:34Z</dcterms:modified>
</cp:coreProperties>
</file>