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11808" windowHeight="8280" tabRatio="995" firstSheet="6" activeTab="16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A10" i="48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G23" i="45" l="1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1" i="27"/>
  <c r="G21" i="34"/>
  <c r="G21" i="35"/>
  <c r="G21" i="37"/>
  <c r="G21" i="42"/>
  <c r="G21" i="38"/>
  <c r="G21" i="40"/>
  <c r="G21" i="39"/>
  <c r="G21" i="36"/>
  <c r="C13" i="30" s="1"/>
  <c r="C8" i="30" l="1"/>
  <c r="D8" i="30" s="1"/>
  <c r="G23" i="40"/>
  <c r="C2" i="30"/>
  <c r="D2" i="30" s="1"/>
  <c r="G23" i="39"/>
  <c r="C10" i="30"/>
  <c r="D10" i="30" s="1"/>
  <c r="G23" i="38"/>
  <c r="C12" i="30"/>
  <c r="D12" i="30" s="1"/>
  <c r="G23" i="37"/>
  <c r="C11" i="30"/>
  <c r="D11" i="30" s="1"/>
  <c r="G23" i="35"/>
  <c r="C14" i="30"/>
  <c r="D14" i="30" s="1"/>
  <c r="G23" i="34"/>
  <c r="C15" i="30"/>
  <c r="D15" i="30" s="1"/>
  <c r="G23" i="25"/>
  <c r="C6" i="30"/>
  <c r="D6" i="30" s="1"/>
  <c r="G23" i="27"/>
  <c r="C7" i="30"/>
  <c r="D7" i="30" s="1"/>
  <c r="X53" i="47"/>
  <c r="Y53" i="47"/>
  <c r="G23" i="36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<sst xmlns="http://schemas.openxmlformats.org/spreadsheetml/2006/main" count="1110" uniqueCount="129">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</sst>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0.33958333333333335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2.9166666666666619E-2</c:v>
                </c:pt>
                <c:pt idx="1">
                  <c:v>2.4999999999999967E-2</c:v>
                </c:pt>
                <c:pt idx="2">
                  <c:v>2.5694444444444409E-2</c:v>
                </c:pt>
                <c:pt idx="3">
                  <c:v>2.4305555555555525E-2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1.8055555555555602E-2</c:v>
                </c:pt>
                <c:pt idx="1">
                  <c:v>2.083333333333337E-2</c:v>
                </c:pt>
                <c:pt idx="2">
                  <c:v>1.9444444444444431E-2</c:v>
                </c:pt>
                <c:pt idx="3">
                  <c:v>1.8750000000000044E-2</c:v>
                </c:pt>
                <c:pt idx="4">
                  <c:v>1.5972222222222221E-2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0.22569444444444436</c:v>
                </c:pt>
                <c:pt idx="2">
                  <c:v>0.23263888888888895</c:v>
                </c:pt>
                <c:pt idx="3">
                  <c:v>0.23472222222222222</c:v>
                </c:pt>
                <c:pt idx="4">
                  <c:v>0.23402777777777783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6.9444444444445308E-3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2.5694444444444353E-2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1.5972222222222054E-2</c:v>
                </c:pt>
                <c:pt idx="1">
                  <c:v>1.3888888888888618E-2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2.430555555555558E-2</c:v>
                </c:pt>
                <c:pt idx="2">
                  <c:v>2.916666666666673E-2</c:v>
                </c:pt>
                <c:pt idx="3">
                  <c:v>2.430555555555558E-2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0.1784722222222222</c:v>
                </c:pt>
                <c:pt idx="1">
                  <c:v>0.17708333333333331</c:v>
                </c:pt>
                <c:pt idx="2">
                  <c:v>0.17222222222222217</c:v>
                </c:pt>
                <c:pt idx="3">
                  <c:v>0.1423611111111111</c:v>
                </c:pt>
                <c:pt idx="4">
                  <c:v>0.19444444444444436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2.6388888888889017E-2</c:v>
                </c:pt>
                <c:pt idx="2">
                  <c:v>2.083333333333337E-2</c:v>
                </c:pt>
                <c:pt idx="3">
                  <c:v>2.5694444444444464E-2</c:v>
                </c:pt>
                <c:pt idx="4">
                  <c:v>2.1527777777777812E-2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8.680555555555558E-2</c:v>
                </c:pt>
                <c:pt idx="1">
                  <c:v>7.9861111111111049E-2</c:v>
                </c:pt>
                <c:pt idx="2">
                  <c:v>8.680555555555558E-2</c:v>
                </c:pt>
                <c:pt idx="3">
                  <c:v>0.12708333333333333</c:v>
                </c:pt>
                <c:pt idx="4">
                  <c:v>8.2638888888888817E-2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3.3333333333333326E-2</c:v>
                </c:pt>
                <c:pt idx="2">
                  <c:v>2.3611111111111027E-2</c:v>
                </c:pt>
                <c:pt idx="3">
                  <c:v>2.083333333333337E-2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0.14097222222222217</c:v>
                </c:pt>
                <c:pt idx="1">
                  <c:v>0.11597222222222214</c:v>
                </c:pt>
                <c:pt idx="2">
                  <c:v>0.1131944444444446</c:v>
                </c:pt>
                <c:pt idx="3">
                  <c:v>0.12361111111111101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1.8750000000000155E-2</c:v>
                </c:pt>
                <c:pt idx="1">
                  <c:v>6.9444444444445308E-3</c:v>
                </c:pt>
                <c:pt idx="2">
                  <c:v>9.0277777777776347E-3</c:v>
                </c:pt>
                <c:pt idx="3">
                  <c:v>8.3333333333335258E-3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2.9861111111111005E-2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2.7777777777777679E-2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9.722222222222221E-2</c:v>
                </c:pt>
                <c:pt idx="1">
                  <c:v>0.13541666666666663</c:v>
                </c:pt>
                <c:pt idx="2">
                  <c:v>0.14930555555555569</c:v>
                </c:pt>
                <c:pt idx="3">
                  <c:v>0.14236111111111116</c:v>
                </c:pt>
                <c:pt idx="4">
                  <c:v>0.10763888888888895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0.3263888888888889</c:v>
                </c:pt>
                <c:pt idx="1">
                  <c:v>0.31944444444444448</c:v>
                </c:pt>
                <c:pt idx="2">
                  <c:v>0.32291666666666669</c:v>
                </c:pt>
                <c:pt idx="3">
                  <c:v>0.3298611111111111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1.7361111111111105E-2</c:v>
                </c:pt>
                <c:pt idx="2">
                  <c:v>1.7361111111111049E-2</c:v>
                </c:pt>
                <c:pt idx="3">
                  <c:v>1.3888888888888895E-2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3.4722222222221544E-3</c:v>
                </c:pt>
                <c:pt idx="2">
                  <c:v>5.5555555555556468E-3</c:v>
                </c:pt>
                <c:pt idx="3">
                  <c:v>6.9444444444444198E-3</c:v>
                </c:pt>
                <c:pt idx="4">
                  <c:v>3.4722222222222654E-3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0.17847222222222225</c:v>
                </c:pt>
                <c:pt idx="1">
                  <c:v>0.16666666666666669</c:v>
                </c:pt>
                <c:pt idx="2">
                  <c:v>0.19930555555555557</c:v>
                </c:pt>
                <c:pt idx="3">
                  <c:v>0.18055555555555558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3.4722222222220989E-3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0.10416666666666663</c:v>
                </c:pt>
                <c:pt idx="1">
                  <c:v>0.13194444444444442</c:v>
                </c:pt>
                <c:pt idx="2">
                  <c:v>8.6805555555555358E-2</c:v>
                </c:pt>
                <c:pt idx="3">
                  <c:v>9.3749999999999778E-2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1.3888888888888951E-2</c:v>
                </c:pt>
                <c:pt idx="2">
                  <c:v>1.0416666666666685E-2</c:v>
                </c:pt>
                <c:pt idx="3">
                  <c:v>1.3888888888888951E-2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1.9444444444444431E-2</c:v>
                </c:pt>
                <c:pt idx="2">
                  <c:v>2.2222222222222199E-2</c:v>
                </c:pt>
                <c:pt idx="3">
                  <c:v>1.8055555555555547E-2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0.24166666666666675</c:v>
                </c:pt>
                <c:pt idx="1">
                  <c:v>0.2270833333333333</c:v>
                </c:pt>
                <c:pt idx="2">
                  <c:v>0.24861111111111117</c:v>
                </c:pt>
                <c:pt idx="3">
                  <c:v>0.24236111111111114</c:v>
                </c:pt>
                <c:pt idx="4">
                  <c:v>0.23958333333333337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2.430555555555558E-2</c:v>
                </c:pt>
                <c:pt idx="3">
                  <c:v>2.0833333333333259E-2</c:v>
                </c:pt>
                <c:pt idx="4">
                  <c:v>2.9166666666666563E-2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1.041666666666663E-2</c:v>
                </c:pt>
                <c:pt idx="3">
                  <c:v>2.4305555555555358E-2</c:v>
                </c:pt>
                <c:pt idx="4">
                  <c:v>1.5972222222222054E-2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0.30694444444444441</c:v>
                </c:pt>
                <c:pt idx="2">
                  <c:v>0.31180555555555556</c:v>
                </c:pt>
                <c:pt idx="3">
                  <c:v>0.30694444444444441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1.1805555555555625E-2</c:v>
                </c:pt>
                <c:pt idx="2">
                  <c:v>1.3194444444444453E-2</c:v>
                </c:pt>
                <c:pt idx="3">
                  <c:v>1.1805555555555625E-2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3.5416666666666652E-2</c:v>
                </c:pt>
                <c:pt idx="2">
                  <c:v>1.8749999999999989E-2</c:v>
                </c:pt>
                <c:pt idx="3">
                  <c:v>2.7083333333333348E-2</c:v>
                </c:pt>
                <c:pt idx="4">
                  <c:v>2.5694444444444409E-2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0.14791666666666664</c:v>
                </c:pt>
                <c:pt idx="1">
                  <c:v>0.22222222222222227</c:v>
                </c:pt>
                <c:pt idx="2">
                  <c:v>0.16666666666666663</c:v>
                </c:pt>
                <c:pt idx="3">
                  <c:v>0.16111111111111104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3.4722222222222321E-2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0.125</c:v>
                </c:pt>
                <c:pt idx="1">
                  <c:v>3.819444444444442E-2</c:v>
                </c:pt>
                <c:pt idx="2">
                  <c:v>0.10069444444444442</c:v>
                </c:pt>
                <c:pt idx="3">
                  <c:v>0.10416666666666663</c:v>
                </c:pt>
                <c:pt idx="4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0.34166666666666662</c:v>
                </c:pt>
                <c:pt idx="3">
                  <c:v>0.34375</c:v>
                </c:pt>
                <c:pt idx="4">
                  <c:v>0.35069444444444442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1.7361111111111105E-2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1.9444444444444431E-2</c:v>
                </c:pt>
                <c:pt idx="1">
                  <c:v>1.5277777777777835E-2</c:v>
                </c:pt>
                <c:pt idx="2">
                  <c:v>2.0138888888888873E-2</c:v>
                </c:pt>
                <c:pt idx="3">
                  <c:v>2.5000000000000022E-2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0.22708333333333341</c:v>
                </c:pt>
                <c:pt idx="1">
                  <c:v>0.22083333333333327</c:v>
                </c:pt>
                <c:pt idx="2">
                  <c:v>0.22638888888888886</c:v>
                </c:pt>
                <c:pt idx="3">
                  <c:v>0.22499999999999992</c:v>
                </c:pt>
                <c:pt idx="4">
                  <c:v>0.22083333333333333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2.777777777777779E-2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3.125E-2</c:v>
                </c:pt>
                <c:pt idx="2">
                  <c:v>1.736111111111116E-2</c:v>
                </c:pt>
                <c:pt idx="3">
                  <c:v>1.388888888888884E-2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0.67708333333333337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1.9444444444444375E-2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1.9444444444444375E-2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2.0138888888888928E-2</c:v>
                </c:pt>
                <c:pt idx="1">
                  <c:v>2.7777777777777901E-2</c:v>
                </c:pt>
                <c:pt idx="2">
                  <c:v>2.2916666666666696E-2</c:v>
                </c:pt>
                <c:pt idx="3">
                  <c:v>1.5277777777777724E-2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0.23541666666666661</c:v>
                </c:pt>
                <c:pt idx="1">
                  <c:v>0.21944444444444433</c:v>
                </c:pt>
                <c:pt idx="2">
                  <c:v>0.22569444444444442</c:v>
                </c:pt>
                <c:pt idx="3">
                  <c:v>0.23125000000000007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6.2500000000000888E-3</c:v>
                </c:pt>
                <c:pt idx="1">
                  <c:v>9.7222222222222987E-3</c:v>
                </c:pt>
                <c:pt idx="2">
                  <c:v>8.3333333333334147E-3</c:v>
                </c:pt>
                <c:pt idx="3">
                  <c:v>8.3333333333333037E-3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3.2638888888888884E-2</c:v>
                </c:pt>
                <c:pt idx="2">
                  <c:v>3.4722222222222154E-2</c:v>
                </c:pt>
                <c:pt idx="3">
                  <c:v>2.430555555555558E-2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1.2499999999999956E-2</c:v>
                </c:pt>
                <c:pt idx="2">
                  <c:v>1.3888888888888951E-2</c:v>
                </c:pt>
                <c:pt idx="3">
                  <c:v>1.0416666666666685E-2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0.22638888888888892</c:v>
                </c:pt>
                <c:pt idx="1">
                  <c:v>0.22638888888888886</c:v>
                </c:pt>
                <c:pt idx="2">
                  <c:v>0.22222222222222227</c:v>
                </c:pt>
                <c:pt idx="3">
                  <c:v>0.22638888888888892</c:v>
                </c:pt>
                <c:pt idx="4">
                  <c:v>0.2312499999999999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4.1666666666666519E-3</c:v>
                </c:pt>
                <c:pt idx="1">
                  <c:v>6.2500000000000888E-3</c:v>
                </c:pt>
                <c:pt idx="2">
                  <c:v>6.9444444444444198E-3</c:v>
                </c:pt>
                <c:pt idx="3">
                  <c:v>6.2499999999998668E-3</c:v>
                </c:pt>
                <c:pt idx="4">
                  <c:v>6.2500000000000888E-3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2.5694444444444464E-2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2.0833333333333259E-2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2.0138888888888817E-2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2.2916666666666474E-2</c:v>
                </c:pt>
                <c:pt idx="1">
                  <c:v>1.8749999999999933E-2</c:v>
                </c:pt>
                <c:pt idx="2">
                  <c:v>2.777777777777779E-2</c:v>
                </c:pt>
                <c:pt idx="3">
                  <c:v>2.1527777777777812E-2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0.21319444444444446</c:v>
                </c:pt>
                <c:pt idx="1">
                  <c:v>0.23125000000000007</c:v>
                </c:pt>
                <c:pt idx="2">
                  <c:v>0.23472222222222217</c:v>
                </c:pt>
                <c:pt idx="3">
                  <c:v>0.20833333333333337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2.7777777777777679E-3</c:v>
                </c:pt>
                <c:pt idx="3">
                  <c:v>1.041666666666663E-2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1.388888888888884E-2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3.4722222222222654E-3</c:v>
                </c:pt>
                <c:pt idx="1">
                  <c:v>3.4722222222222654E-3</c:v>
                </c:pt>
                <c:pt idx="2">
                  <c:v>2.0833333333332704E-3</c:v>
                </c:pt>
                <c:pt idx="3">
                  <c:v>3.4722222222221544E-3</c:v>
                </c:pt>
                <c:pt idx="4">
                  <c:v>3.4722222222222654E-3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0.19097222222222215</c:v>
                </c:pt>
                <c:pt idx="1">
                  <c:v>0.18055555555555552</c:v>
                </c:pt>
                <c:pt idx="2">
                  <c:v>0.19236111111111109</c:v>
                </c:pt>
                <c:pt idx="3">
                  <c:v>0.17847222222222225</c:v>
                </c:pt>
                <c:pt idx="4">
                  <c:v>0.18402777777777773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9.0277777777777457E-3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3.8194444444444531E-2</c:v>
                </c:pt>
                <c:pt idx="4">
                  <c:v>3.4722222222222321E-2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0.26041666666666674</c:v>
                </c:pt>
                <c:pt idx="1">
                  <c:v>0.26736111111111116</c:v>
                </c:pt>
                <c:pt idx="2">
                  <c:v>0.25347222222222199</c:v>
                </c:pt>
                <c:pt idx="3">
                  <c:v>0.25694444444444409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0.33958333333333335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2.0833333333333315E-2</c:v>
                </c:pt>
                <c:pt idx="2">
                  <c:v>2.0833333333333315E-2</c:v>
                </c:pt>
                <c:pt idx="3">
                  <c:v>2.083333333333337E-2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1.8750000000000044E-2</c:v>
                </c:pt>
                <c:pt idx="1">
                  <c:v>1.8749999999999989E-2</c:v>
                </c:pt>
                <c:pt idx="2">
                  <c:v>1.7361111111111105E-2</c:v>
                </c:pt>
                <c:pt idx="3">
                  <c:v>1.5972222222222276E-2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0.22430555555555548</c:v>
                </c:pt>
                <c:pt idx="1">
                  <c:v>0.22777777777777775</c:v>
                </c:pt>
                <c:pt idx="2">
                  <c:v>0.23125000000000007</c:v>
                </c:pt>
                <c:pt idx="3">
                  <c:v>0.23402777777777767</c:v>
                </c:pt>
                <c:pt idx="4">
                  <c:v>0.2312499999999999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6.9444444444445308E-3</c:v>
                </c:pt>
                <c:pt idx="2">
                  <c:v>4.8611111111110938E-3</c:v>
                </c:pt>
                <c:pt idx="3">
                  <c:v>6.9444444444445308E-3</c:v>
                </c:pt>
                <c:pt idx="4">
                  <c:v>9.0277777777778567E-3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4.166666666666663E-2</c:v>
                </c:pt>
                <c:pt idx="2">
                  <c:v>3.4722222222222099E-2</c:v>
                </c:pt>
                <c:pt idx="3">
                  <c:v>3.819444444444442E-2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3.4722222222222099E-3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0.1875</c:v>
                </c:pt>
                <c:pt idx="1">
                  <c:v>0.1840277777777779</c:v>
                </c:pt>
                <c:pt idx="2">
                  <c:v>0.21180555555555558</c:v>
                </c:pt>
                <c:pt idx="3">
                  <c:v>0.17361111111111116</c:v>
                </c:pt>
                <c:pt idx="4">
                  <c:v>0.19097222222222232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1.2499999999999845E-2</c:v>
                </c:pt>
                <c:pt idx="2">
                  <c:v>1.0416666666666741E-2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2.2222222222222254E-2</c:v>
                </c:pt>
                <c:pt idx="2">
                  <c:v>3.125E-2</c:v>
                </c:pt>
                <c:pt idx="3">
                  <c:v>3.125E-2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6.25E-2</c:v>
                </c:pt>
                <c:pt idx="2">
                  <c:v>3.4722222222222099E-2</c:v>
                </c:pt>
                <c:pt idx="3">
                  <c:v>7.638888888888884E-2</c:v>
                </c:pt>
                <c:pt idx="4">
                  <c:v>6.5972222222222099E-2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2.0833333333333315E-2</c:v>
                </c:pt>
                <c:pt idx="3">
                  <c:v>2.777777777777779E-2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2.6388888888888906E-2</c:v>
                </c:pt>
                <c:pt idx="2">
                  <c:v>2.430555555555558E-2</c:v>
                </c:pt>
                <c:pt idx="3">
                  <c:v>2.6388888888888851E-2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0.1965277777777778</c:v>
                </c:pt>
                <c:pt idx="1">
                  <c:v>0.24444444444444441</c:v>
                </c:pt>
                <c:pt idx="2">
                  <c:v>0.1423611111111111</c:v>
                </c:pt>
                <c:pt idx="3">
                  <c:v>0.16111111111111115</c:v>
                </c:pt>
                <c:pt idx="4">
                  <c:v>0.21875000000000006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3.4722222222222321E-2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5.208333333333337E-2</c:v>
                </c:pt>
                <c:pt idx="1">
                  <c:v>1.736111111111116E-2</c:v>
                </c:pt>
                <c:pt idx="2">
                  <c:v>0.10763888888888884</c:v>
                </c:pt>
                <c:pt idx="3">
                  <c:v>9.027777777777779E-2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326116</xdr:colOff>
      <xdr:row>50</xdr:row>
      <xdr:rowOff>190500</xdr:rowOff>
    </xdr:from>
    <xdr:to>
      <xdr:col>11</xdr:col>
      <xdr:colOff>889000</xdr:colOff>
      <xdr:row>52</xdr:row>
      <xdr:rowOff>67130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35716" y="10795000"/>
          <a:ext cx="5628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743857</xdr:colOff>
      <xdr:row>50</xdr:row>
      <xdr:rowOff>184152</xdr:rowOff>
    </xdr:from>
    <xdr:to>
      <xdr:col>10</xdr:col>
      <xdr:colOff>1149350</xdr:colOff>
      <xdr:row>52</xdr:row>
      <xdr:rowOff>67675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488057" y="10788652"/>
          <a:ext cx="405493" cy="289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1835829</xdr:colOff>
      <xdr:row>50</xdr:row>
      <xdr:rowOff>198666</xdr:rowOff>
    </xdr:from>
    <xdr:to>
      <xdr:col>10</xdr:col>
      <xdr:colOff>2393722</xdr:colOff>
      <xdr:row>52</xdr:row>
      <xdr:rowOff>90716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80029" y="108031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  <xdr:twoCellAnchor>
    <xdr:from>
      <xdr:col>12</xdr:col>
      <xdr:colOff>186191</xdr:colOff>
      <xdr:row>51</xdr:row>
      <xdr:rowOff>30479</xdr:rowOff>
    </xdr:from>
    <xdr:to>
      <xdr:col>12</xdr:col>
      <xdr:colOff>723900</xdr:colOff>
      <xdr:row>52</xdr:row>
      <xdr:rowOff>128816</xdr:rowOff>
    </xdr:to>
    <xdr:sp macro="" textlink="G19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64191" y="10838179"/>
          <a:ext cx="537709" cy="301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645159</xdr:colOff>
      <xdr:row>51</xdr:row>
      <xdr:rowOff>38100</xdr:rowOff>
    </xdr:from>
    <xdr:to>
      <xdr:col>14</xdr:col>
      <xdr:colOff>304800</xdr:colOff>
      <xdr:row>52</xdr:row>
      <xdr:rowOff>103416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74059" y="108458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14</xdr:col>
      <xdr:colOff>1163865</xdr:colOff>
      <xdr:row>40</xdr:row>
      <xdr:rowOff>144238</xdr:rowOff>
    </xdr:from>
    <xdr:to>
      <xdr:col>16</xdr:col>
      <xdr:colOff>876300</xdr:colOff>
      <xdr:row>41</xdr:row>
      <xdr:rowOff>198664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43665" y="87167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16</xdr:col>
      <xdr:colOff>166912</xdr:colOff>
      <xdr:row>43</xdr:row>
      <xdr:rowOff>83458</xdr:rowOff>
    </xdr:from>
    <xdr:to>
      <xdr:col>16</xdr:col>
      <xdr:colOff>724805</xdr:colOff>
      <xdr:row>44</xdr:row>
      <xdr:rowOff>178708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810512" y="92655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16</xdr:col>
      <xdr:colOff>166912</xdr:colOff>
      <xdr:row>45</xdr:row>
      <xdr:rowOff>185966</xdr:rowOff>
    </xdr:from>
    <xdr:to>
      <xdr:col>16</xdr:col>
      <xdr:colOff>724805</xdr:colOff>
      <xdr:row>47</xdr:row>
      <xdr:rowOff>77109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810512" y="97744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153305</xdr:colOff>
      <xdr:row>48</xdr:row>
      <xdr:rowOff>93074</xdr:rowOff>
    </xdr:from>
    <xdr:to>
      <xdr:col>16</xdr:col>
      <xdr:colOff>711198</xdr:colOff>
      <xdr:row>49</xdr:row>
      <xdr:rowOff>195944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96905" y="10291174"/>
          <a:ext cx="557893" cy="306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89806</xdr:colOff>
      <xdr:row>43</xdr:row>
      <xdr:rowOff>92530</xdr:rowOff>
    </xdr:from>
    <xdr:to>
      <xdr:col>16</xdr:col>
      <xdr:colOff>79828</xdr:colOff>
      <xdr:row>44</xdr:row>
      <xdr:rowOff>198665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77706" y="92746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119742</xdr:colOff>
      <xdr:row>45</xdr:row>
      <xdr:rowOff>122465</xdr:rowOff>
    </xdr:from>
    <xdr:to>
      <xdr:col>16</xdr:col>
      <xdr:colOff>109764</xdr:colOff>
      <xdr:row>47</xdr:row>
      <xdr:rowOff>25401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607642" y="97109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95249</xdr:colOff>
      <xdr:row>48</xdr:row>
      <xdr:rowOff>71668</xdr:rowOff>
    </xdr:from>
    <xdr:to>
      <xdr:col>16</xdr:col>
      <xdr:colOff>85271</xdr:colOff>
      <xdr:row>49</xdr:row>
      <xdr:rowOff>169275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83149" y="10269768"/>
          <a:ext cx="1145722" cy="300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107%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1497330</xdr:colOff>
      <xdr:row>9</xdr:row>
      <xdr:rowOff>167640</xdr:rowOff>
    </xdr:from>
    <xdr:to>
      <xdr:col>3</xdr:col>
      <xdr:colOff>228600</xdr:colOff>
      <xdr:row>15</xdr:row>
      <xdr:rowOff>137160</xdr:rowOff>
    </xdr:to>
    <xdr:cxnSp macro="">
      <xdr:nvCxnSpPr>
        <xdr:cNvPr id="4" name="Conector angular 3"/>
        <xdr:cNvCxnSpPr/>
      </xdr:nvCxnSpPr>
      <xdr:spPr>
        <a:xfrm rot="5400000">
          <a:off x="1590675" y="212407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0</xdr:row>
      <xdr:rowOff>167640</xdr:rowOff>
    </xdr:from>
    <xdr:to>
      <xdr:col>26</xdr:col>
      <xdr:colOff>381000</xdr:colOff>
      <xdr:row>2</xdr:row>
      <xdr:rowOff>175260</xdr:rowOff>
    </xdr:to>
    <xdr:sp macro="" textlink="">
      <xdr:nvSpPr>
        <xdr:cNvPr id="13" name="Rectángulo 12"/>
        <xdr:cNvSpPr/>
      </xdr:nvSpPr>
      <xdr:spPr>
        <a:xfrm>
          <a:off x="6134100" y="16764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Miercoles</a:t>
          </a:r>
          <a:r>
            <a:rPr lang="es-CL" sz="1100" baseline="0"/>
            <a:t> y jueves se da prioridad a reparación red de agua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15</xdr:col>
      <xdr:colOff>198120</xdr:colOff>
      <xdr:row>1</xdr:row>
      <xdr:rowOff>171450</xdr:rowOff>
    </xdr:from>
    <xdr:to>
      <xdr:col>16</xdr:col>
      <xdr:colOff>68580</xdr:colOff>
      <xdr:row>9</xdr:row>
      <xdr:rowOff>60960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5316855" y="105727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14</xdr:row>
      <xdr:rowOff>68580</xdr:rowOff>
    </xdr:from>
    <xdr:to>
      <xdr:col>5</xdr:col>
      <xdr:colOff>60960</xdr:colOff>
      <xdr:row>16</xdr:row>
      <xdr:rowOff>76200</xdr:rowOff>
    </xdr:to>
    <xdr:sp macro="" textlink="">
      <xdr:nvSpPr>
        <xdr:cNvPr id="16" name="Rectángulo 15"/>
        <xdr:cNvSpPr/>
      </xdr:nvSpPr>
      <xdr:spPr>
        <a:xfrm>
          <a:off x="312420" y="31927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5:41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10:27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G8" sqref="G8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44858</v>
      </c>
      <c r="D3" s="37">
        <v>0.33680555555555558</v>
      </c>
      <c r="E3" s="37">
        <v>0.3659722222222222</v>
      </c>
      <c r="F3" s="37">
        <v>0.3840277777777778</v>
      </c>
      <c r="G3" s="37">
        <v>0.61319444444444449</v>
      </c>
      <c r="H3" s="37">
        <v>0.61805555555555558</v>
      </c>
      <c r="I3" s="37">
        <v>0.64374999999999993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44858</v>
      </c>
      <c r="P3" s="7">
        <f>D3</f>
        <v>0.33680555555555558</v>
      </c>
      <c r="Q3" s="7">
        <f>E3-D3</f>
        <v>2.9166666666666619E-2</v>
      </c>
      <c r="R3" s="7">
        <f>F3-E3</f>
        <v>1.8055555555555602E-2</v>
      </c>
      <c r="S3" s="7">
        <f>G3-F3</f>
        <v>0.22916666666666669</v>
      </c>
      <c r="T3" s="7">
        <f>+Tabla5[[#This Row],[ALMUERZO]]-Tabla5[[#This Row],[TERMINO ACT. AM]]</f>
        <v>4.8611111111110938E-3</v>
      </c>
      <c r="U3" s="7">
        <f>+Tabla5[[#This Row],[INICIO ACTIVIDADES PM]]-Tabla5[[#This Row],[ALMUERZO]]</f>
        <v>2.5694444444444353E-2</v>
      </c>
      <c r="V3" s="7">
        <f>+Tabla5[[#This Row],[TERMINO ACTIVIDADES PM]]-Tabla5[[#This Row],[INICIO ACTIVIDADES PM]]</f>
        <v>1.5972222222222054E-2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44859</v>
      </c>
      <c r="D4" s="37">
        <v>0.33958333333333335</v>
      </c>
      <c r="E4" s="37">
        <v>0.36458333333333331</v>
      </c>
      <c r="F4" s="37">
        <v>0.38541666666666669</v>
      </c>
      <c r="G4" s="37">
        <v>0.61111111111111105</v>
      </c>
      <c r="H4" s="37">
        <v>0.61805555555555558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44859</v>
      </c>
      <c r="P4" s="7">
        <f>D4</f>
        <v>0.33958333333333335</v>
      </c>
      <c r="Q4" s="7">
        <f t="shared" ref="Q4:Q7" si="0">E4-D4</f>
        <v>2.4999999999999967E-2</v>
      </c>
      <c r="R4" s="7">
        <f t="shared" ref="R4:R7" si="1">F4-E4</f>
        <v>2.083333333333337E-2</v>
      </c>
      <c r="S4" s="7">
        <f t="shared" ref="S4:S7" si="2">G4-F4</f>
        <v>0.22569444444444436</v>
      </c>
      <c r="T4" s="7">
        <f>+Tabla5[[#This Row],[ALMUERZO]]-Tabla5[[#This Row],[TERMINO ACT. AM]]</f>
        <v>6.9444444444445308E-3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44860</v>
      </c>
      <c r="D5" s="37">
        <v>0.33819444444444446</v>
      </c>
      <c r="E5" s="37">
        <v>0.36388888888888887</v>
      </c>
      <c r="F5" s="37">
        <v>0.3833333333333333</v>
      </c>
      <c r="G5" s="37">
        <v>0.61597222222222225</v>
      </c>
      <c r="H5" s="37">
        <v>0.62152777777777779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44860</v>
      </c>
      <c r="P5" s="7">
        <f>D5</f>
        <v>0.33819444444444446</v>
      </c>
      <c r="Q5" s="7">
        <f t="shared" si="0"/>
        <v>2.5694444444444409E-2</v>
      </c>
      <c r="R5" s="7">
        <f t="shared" si="1"/>
        <v>1.9444444444444431E-2</v>
      </c>
      <c r="S5" s="7">
        <f t="shared" si="2"/>
        <v>0.23263888888888895</v>
      </c>
      <c r="T5" s="7">
        <f>+Tabla5[[#This Row],[ALMUERZO]]-Tabla5[[#This Row],[TERMINO ACT. AM]]</f>
        <v>5.5555555555555358E-3</v>
      </c>
      <c r="U5" s="7">
        <f>+Tabla5[[#This Row],[INICIO ACTIVIDADES PM]]-Tabla5[[#This Row],[ALMUERZO]]</f>
        <v>2.777777777777779E-2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44861</v>
      </c>
      <c r="D6" s="37">
        <v>0.33680555555555558</v>
      </c>
      <c r="E6" s="37">
        <v>0.3611111111111111</v>
      </c>
      <c r="F6" s="37">
        <v>0.37986111111111115</v>
      </c>
      <c r="G6" s="37">
        <v>0.61458333333333337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44861</v>
      </c>
      <c r="P6" s="7">
        <f>D6</f>
        <v>0.33680555555555558</v>
      </c>
      <c r="Q6" s="7">
        <f t="shared" si="0"/>
        <v>2.4305555555555525E-2</v>
      </c>
      <c r="R6" s="7">
        <f t="shared" si="1"/>
        <v>1.8750000000000044E-2</v>
      </c>
      <c r="S6" s="7">
        <f t="shared" si="2"/>
        <v>0.23472222222222222</v>
      </c>
      <c r="T6" s="7">
        <f>+Tabla5[[#This Row],[ALMUERZO]]-Tabla5[[#This Row],[TERMINO ACT. AM]]</f>
        <v>3.4722222222222099E-3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44862</v>
      </c>
      <c r="D7" s="37">
        <v>0.33888888888888885</v>
      </c>
      <c r="E7" s="37">
        <v>0.36458333333333331</v>
      </c>
      <c r="F7" s="37">
        <v>0.38055555555555554</v>
      </c>
      <c r="G7" s="37">
        <v>0.61458333333333337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44862</v>
      </c>
      <c r="P7" s="7">
        <f>D7</f>
        <v>0.33888888888888885</v>
      </c>
      <c r="Q7" s="7">
        <f t="shared" si="0"/>
        <v>2.5694444444444464E-2</v>
      </c>
      <c r="R7" s="7">
        <f t="shared" si="1"/>
        <v>1.5972222222222221E-2</v>
      </c>
      <c r="S7" s="7">
        <f t="shared" si="2"/>
        <v>0.23402777777777783</v>
      </c>
      <c r="T7" s="7">
        <f>+Tabla5[[#This Row],[ALMUERZO]]-Tabla5[[#This Row],[TERMINO ACT. AM]]</f>
        <v>6.9444444444444198E-3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44863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44864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0.24513888888888874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0.23958333333333298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0.24305555555555536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0.24513888888888863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0.24791666666666667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0.24416666666666648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0.97666666666666591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6" sqref="F6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44858</v>
      </c>
      <c r="D3" s="37">
        <v>0.3125</v>
      </c>
      <c r="E3" s="37">
        <v>0.33333333333333331</v>
      </c>
      <c r="F3" s="37">
        <v>0.36319444444444443</v>
      </c>
      <c r="G3" s="37">
        <v>0.54166666666666663</v>
      </c>
      <c r="H3" s="37">
        <v>0.54861111111111105</v>
      </c>
      <c r="I3" s="37">
        <v>0.57291666666666663</v>
      </c>
      <c r="J3" s="46">
        <v>0.65972222222222221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0.3125</v>
      </c>
      <c r="Q3" s="7">
        <f>E3-D3</f>
        <v>2.0833333333333315E-2</v>
      </c>
      <c r="R3" s="7">
        <f>F3-E3</f>
        <v>2.9861111111111116E-2</v>
      </c>
      <c r="S3" s="7">
        <f>G3-F3</f>
        <v>0.1784722222222222</v>
      </c>
      <c r="T3" s="7">
        <f>+Tabla538394041[[#This Row],[ALMUERZO]]-Tabla538394041[[#This Row],[TERMINO ACT. AM]]</f>
        <v>6.9444444444444198E-3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8.680555555555558E-2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44859</v>
      </c>
      <c r="D4" s="37">
        <v>0.3125</v>
      </c>
      <c r="E4" s="37">
        <v>0.34027777777777773</v>
      </c>
      <c r="F4" s="37">
        <v>0.36458333333333331</v>
      </c>
      <c r="G4" s="37">
        <v>0.54166666666666663</v>
      </c>
      <c r="H4" s="37">
        <v>0.54999999999999993</v>
      </c>
      <c r="I4" s="37">
        <v>0.57638888888888895</v>
      </c>
      <c r="J4" s="46">
        <v>0.65625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2.7777777777777735E-2</v>
      </c>
      <c r="R4" s="7">
        <f t="shared" ref="R4:S7" si="1">F4-E4</f>
        <v>2.430555555555558E-2</v>
      </c>
      <c r="S4" s="7">
        <f t="shared" si="1"/>
        <v>0.17708333333333331</v>
      </c>
      <c r="T4" s="7">
        <f>+Tabla538394041[[#This Row],[ALMUERZO]]-Tabla538394041[[#This Row],[TERMINO ACT. AM]]</f>
        <v>8.3333333333333037E-3</v>
      </c>
      <c r="U4" s="7">
        <f>+Tabla538394041[[#This Row],[INICIO ACTIVIDADES PM]]-Tabla538394041[[#This Row],[ALMUERZO]]</f>
        <v>2.6388888888889017E-2</v>
      </c>
      <c r="V4" s="7">
        <f>+Tabla538394041[[#This Row],[TERMINO ACTIVIDADES PM]]-Tabla538394041[[#This Row],[INICIO ACTIVIDADES PM]]</f>
        <v>7.9861111111111049E-2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44860</v>
      </c>
      <c r="D5" s="37">
        <v>0.3125</v>
      </c>
      <c r="E5" s="37">
        <v>0.34027777777777773</v>
      </c>
      <c r="F5" s="37">
        <v>0.36944444444444446</v>
      </c>
      <c r="G5" s="37">
        <v>0.54166666666666663</v>
      </c>
      <c r="H5" s="37">
        <v>0.54861111111111105</v>
      </c>
      <c r="I5" s="37">
        <v>0.56944444444444442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2.916666666666673E-2</v>
      </c>
      <c r="S5" s="7">
        <f t="shared" si="1"/>
        <v>0.17222222222222217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2.083333333333337E-2</v>
      </c>
      <c r="V5" s="7">
        <f>+Tabla538394041[[#This Row],[TERMINO ACTIVIDADES PM]]-Tabla538394041[[#This Row],[INICIO ACTIVIDADES PM]]</f>
        <v>8.680555555555558E-2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44861</v>
      </c>
      <c r="D6" s="37">
        <v>0.3125</v>
      </c>
      <c r="E6" s="37">
        <v>0.33333333333333331</v>
      </c>
      <c r="F6" s="37">
        <v>0.3576388888888889</v>
      </c>
      <c r="G6" s="37">
        <v>0.5</v>
      </c>
      <c r="H6" s="37">
        <v>0.50347222222222221</v>
      </c>
      <c r="I6" s="37">
        <v>0.52916666666666667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2.0833333333333315E-2</v>
      </c>
      <c r="R6" s="7">
        <f t="shared" si="1"/>
        <v>2.430555555555558E-2</v>
      </c>
      <c r="S6" s="7">
        <f t="shared" si="1"/>
        <v>0.1423611111111111</v>
      </c>
      <c r="T6" s="7">
        <f>+Tabla538394041[[#This Row],[ALMUERZO]]-Tabla538394041[[#This Row],[TERMINO ACT. AM]]</f>
        <v>3.4722222222222099E-3</v>
      </c>
      <c r="U6" s="7">
        <f>+Tabla538394041[[#This Row],[INICIO ACTIVIDADES PM]]-Tabla538394041[[#This Row],[ALMUERZO]]</f>
        <v>2.5694444444444464E-2</v>
      </c>
      <c r="V6" s="7">
        <f>+Tabla538394041[[#This Row],[TERMINO ACTIVIDADES PM]]-Tabla538394041[[#This Row],[INICIO ACTIVIDADES PM]]</f>
        <v>0.12708333333333333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44862</v>
      </c>
      <c r="D7" s="37">
        <v>0.3125</v>
      </c>
      <c r="E7" s="37">
        <v>0.33333333333333331</v>
      </c>
      <c r="F7" s="37">
        <v>0.34722222222222227</v>
      </c>
      <c r="G7" s="37">
        <v>0.54166666666666663</v>
      </c>
      <c r="H7" s="37">
        <v>0.55208333333333337</v>
      </c>
      <c r="I7" s="37">
        <v>0.57361111111111118</v>
      </c>
      <c r="J7" s="46">
        <v>0.65625</v>
      </c>
      <c r="K7" s="47" t="s">
        <v>91</v>
      </c>
      <c r="M7" s="5"/>
      <c r="N7" s="5" t="s">
        <v>18</v>
      </c>
      <c r="O7" s="4">
        <v>44414</v>
      </c>
      <c r="P7" s="7">
        <f>D7</f>
        <v>0.3125</v>
      </c>
      <c r="Q7" s="7">
        <f t="shared" si="0"/>
        <v>2.0833333333333315E-2</v>
      </c>
      <c r="R7" s="7">
        <f t="shared" si="1"/>
        <v>1.3888888888888951E-2</v>
      </c>
      <c r="S7" s="7">
        <f t="shared" si="1"/>
        <v>0.19444444444444436</v>
      </c>
      <c r="T7" s="7">
        <f>+Tabla538394041[[#This Row],[ALMUERZO]]-Tabla538394041[[#This Row],[TERMINO ACT. AM]]</f>
        <v>1.0416666666666741E-2</v>
      </c>
      <c r="U7" s="7">
        <f>+Tabla538394041[[#This Row],[INICIO ACTIVIDADES PM]]-Tabla538394041[[#This Row],[ALMUERZO]]</f>
        <v>2.1527777777777812E-2</v>
      </c>
      <c r="V7" s="7">
        <f>+Tabla538394041[[#This Row],[TERMINO ACTIVIDADES PM]]-Tabla538394041[[#This Row],[INICIO ACTIVIDADES PM]]</f>
        <v>8.2638888888888817E-2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0.26527777777777778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0.25694444444444436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0.25902777777777775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0.26944444444444443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0.27708333333333318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0.26555555555555549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1.062222222222222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7" t="s">
        <v>105</v>
      </c>
      <c r="J28" s="178" t="s">
        <v>103</v>
      </c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79"/>
      <c r="T30" s="3"/>
    </row>
    <row r="31" spans="1:20" ht="15.6" customHeight="1" x14ac:dyDescent="0.3">
      <c r="I31" s="177"/>
      <c r="J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8" sqref="I8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44858</v>
      </c>
      <c r="D3" s="37">
        <v>0.64583333333333337</v>
      </c>
      <c r="E3" s="37">
        <v>0.67013888888888884</v>
      </c>
      <c r="F3" s="37">
        <v>0.6958333333333333</v>
      </c>
      <c r="G3" s="56">
        <v>0.83680555555555547</v>
      </c>
      <c r="H3" s="37">
        <v>0.85555555555555562</v>
      </c>
      <c r="I3" s="37">
        <v>0.88541666666666663</v>
      </c>
      <c r="J3" s="46">
        <v>0.98263888888888884</v>
      </c>
      <c r="K3" s="47"/>
      <c r="L3" s="53"/>
      <c r="M3" s="53"/>
      <c r="N3" s="57" t="s">
        <v>15</v>
      </c>
      <c r="O3" s="4">
        <f>Tabla53839404142[[#This Row],[FECHA]]</f>
        <v>44858</v>
      </c>
      <c r="P3" s="7">
        <f>D3</f>
        <v>0.64583333333333337</v>
      </c>
      <c r="Q3" s="7">
        <f>E3-D3</f>
        <v>2.4305555555555469E-2</v>
      </c>
      <c r="R3" s="7">
        <f>F3-E3</f>
        <v>2.5694444444444464E-2</v>
      </c>
      <c r="S3" s="7">
        <f>G3-F3</f>
        <v>0.14097222222222217</v>
      </c>
      <c r="T3" s="7">
        <f>+Tabla53839404142[[#This Row],[ALMUERZO]]-Tabla53839404142[[#This Row],[TERMINO ACT. AM]]</f>
        <v>1.8750000000000155E-2</v>
      </c>
      <c r="U3" s="7">
        <f>+Tabla53839404142[[#This Row],[INICIO ACTIVIDADES PM]]-Tabla53839404142[[#This Row],[ALMUERZO]]</f>
        <v>2.9861111111111005E-2</v>
      </c>
      <c r="V3" s="7">
        <f>+Tabla53839404142[[#This Row],[TERMINO ACTIVIDADES PM]]-Tabla53839404142[[#This Row],[INICIO ACTIVIDADES PM]]</f>
        <v>9.722222222222221E-2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44859</v>
      </c>
      <c r="D4" s="37">
        <v>0.64583333333333337</v>
      </c>
      <c r="E4" s="37">
        <v>0.65625</v>
      </c>
      <c r="F4" s="37">
        <v>0.68958333333333333</v>
      </c>
      <c r="G4" s="56">
        <v>0.80555555555555547</v>
      </c>
      <c r="H4" s="37">
        <v>0.8125</v>
      </c>
      <c r="I4" s="37">
        <v>0.84375</v>
      </c>
      <c r="J4" s="46">
        <v>0.97916666666666663</v>
      </c>
      <c r="K4" s="47"/>
      <c r="M4" s="5"/>
      <c r="N4" s="5" t="s">
        <v>16</v>
      </c>
      <c r="O4" s="4">
        <f>Tabla53839404142[[#This Row],[FECHA]]</f>
        <v>44859</v>
      </c>
      <c r="P4" s="7">
        <f>D4</f>
        <v>0.64583333333333337</v>
      </c>
      <c r="Q4" s="7">
        <f t="shared" ref="Q4:S7" si="0">E4-D4</f>
        <v>1.041666666666663E-2</v>
      </c>
      <c r="R4" s="7">
        <f t="shared" si="0"/>
        <v>3.3333333333333326E-2</v>
      </c>
      <c r="S4" s="7">
        <f t="shared" si="0"/>
        <v>0.11597222222222214</v>
      </c>
      <c r="T4" s="7">
        <f>+Tabla53839404142[[#This Row],[ALMUERZO]]-Tabla53839404142[[#This Row],[TERMINO ACT. AM]]</f>
        <v>6.9444444444445308E-3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0.13541666666666663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44860</v>
      </c>
      <c r="D5" s="37">
        <v>0.64583333333333337</v>
      </c>
      <c r="E5" s="37">
        <v>0.65972222222222221</v>
      </c>
      <c r="F5" s="37">
        <v>0.68333333333333324</v>
      </c>
      <c r="G5" s="56">
        <v>0.79652777777777783</v>
      </c>
      <c r="H5" s="37">
        <v>0.80555555555555547</v>
      </c>
      <c r="I5" s="37">
        <v>0.83680555555555547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44860</v>
      </c>
      <c r="P5" s="7">
        <f>D5</f>
        <v>0.64583333333333337</v>
      </c>
      <c r="Q5" s="7">
        <f t="shared" si="0"/>
        <v>1.388888888888884E-2</v>
      </c>
      <c r="R5" s="7">
        <f t="shared" si="0"/>
        <v>2.3611111111111027E-2</v>
      </c>
      <c r="S5" s="7">
        <f t="shared" si="0"/>
        <v>0.1131944444444446</v>
      </c>
      <c r="T5" s="7">
        <f>+Tabla53839404142[[#This Row],[ALMUERZO]]-Tabla53839404142[[#This Row],[TERMINO ACT. AM]]</f>
        <v>9.0277777777776347E-3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0.14930555555555569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44861</v>
      </c>
      <c r="D6" s="37">
        <v>0.64583333333333337</v>
      </c>
      <c r="E6" s="37">
        <v>0.66666666666666663</v>
      </c>
      <c r="F6" s="37">
        <v>0.6875</v>
      </c>
      <c r="G6" s="37">
        <v>0.81111111111111101</v>
      </c>
      <c r="H6" s="37">
        <v>0.81944444444444453</v>
      </c>
      <c r="I6" s="37">
        <v>0.84722222222222221</v>
      </c>
      <c r="J6" s="46">
        <v>0.98958333333333337</v>
      </c>
      <c r="K6" s="47"/>
      <c r="M6" s="5"/>
      <c r="N6" s="5" t="s">
        <v>17</v>
      </c>
      <c r="O6" s="4">
        <f>Tabla53839404142[[#This Row],[FECHA]]</f>
        <v>44861</v>
      </c>
      <c r="P6" s="7">
        <f>D6</f>
        <v>0.64583333333333337</v>
      </c>
      <c r="Q6" s="7">
        <f t="shared" si="0"/>
        <v>2.0833333333333259E-2</v>
      </c>
      <c r="R6" s="7">
        <f t="shared" si="0"/>
        <v>2.083333333333337E-2</v>
      </c>
      <c r="S6" s="7">
        <f t="shared" si="0"/>
        <v>0.12361111111111101</v>
      </c>
      <c r="T6" s="7">
        <f>+Tabla53839404142[[#This Row],[ALMUERZO]]-Tabla53839404142[[#This Row],[TERMINO ACT. AM]]</f>
        <v>8.3333333333335258E-3</v>
      </c>
      <c r="U6" s="7">
        <f>+Tabla53839404142[[#This Row],[INICIO ACTIVIDADES PM]]-Tabla53839404142[[#This Row],[ALMUERZO]]</f>
        <v>2.7777777777777679E-2</v>
      </c>
      <c r="V6" s="7">
        <f>+Tabla53839404142[[#This Row],[TERMINO ACTIVIDADES PM]]-Tabla53839404142[[#This Row],[INICIO ACTIVIDADES PM]]</f>
        <v>0.14236111111111116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44862</v>
      </c>
      <c r="D7" s="37">
        <v>0.64583333333333337</v>
      </c>
      <c r="E7" s="37">
        <v>0.67361111111111116</v>
      </c>
      <c r="F7" s="37">
        <v>0.69097222222222221</v>
      </c>
      <c r="G7" s="56">
        <v>0.84027777777777779</v>
      </c>
      <c r="H7" s="37">
        <v>0.85069444444444453</v>
      </c>
      <c r="I7" s="37">
        <v>0.87847222222222221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44862</v>
      </c>
      <c r="P7" s="7">
        <f>D7</f>
        <v>0.64583333333333337</v>
      </c>
      <c r="Q7" s="7">
        <f t="shared" si="0"/>
        <v>2.777777777777779E-2</v>
      </c>
      <c r="R7" s="7">
        <f t="shared" si="0"/>
        <v>1.7361111111111049E-2</v>
      </c>
      <c r="S7" s="7">
        <f t="shared" si="0"/>
        <v>0.14930555555555558</v>
      </c>
      <c r="T7" s="7">
        <f>+Tabla53839404142[[#This Row],[ALMUERZO]]-Tabla53839404142[[#This Row],[TERMINO ACT. AM]]</f>
        <v>1.0416666666666741E-2</v>
      </c>
      <c r="U7" s="7">
        <f>+Tabla53839404142[[#This Row],[INICIO ACTIVIDADES PM]]-Tabla53839404142[[#This Row],[ALMUERZO]]</f>
        <v>2.7777777777777679E-2</v>
      </c>
      <c r="V7" s="7">
        <f>+Tabla53839404142[[#This Row],[TERMINO ACTIVIDADES PM]]-Tabla53839404142[[#This Row],[INICIO ACTIVIDADES PM]]</f>
        <v>0.10763888888888895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0.23819444444444438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0.25138888888888877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0.26250000000000029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0.26597222222222217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0.25694444444444453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0.25500000000000006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1.0200000000000002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44858</v>
      </c>
      <c r="D3" s="37">
        <v>0.3263888888888889</v>
      </c>
      <c r="E3" s="37">
        <v>0.34027777777777773</v>
      </c>
      <c r="F3" s="37">
        <v>0.34930555555555554</v>
      </c>
      <c r="G3" s="37">
        <v>0.52777777777777779</v>
      </c>
      <c r="H3" s="37">
        <v>0.53125</v>
      </c>
      <c r="I3" s="37">
        <v>0.55555555555555558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44858</v>
      </c>
      <c r="P3" s="7">
        <f>D3</f>
        <v>0.3263888888888889</v>
      </c>
      <c r="Q3" s="7">
        <f>E3-D3</f>
        <v>1.388888888888884E-2</v>
      </c>
      <c r="R3" s="7">
        <f>F3-E3</f>
        <v>9.0277777777778012E-3</v>
      </c>
      <c r="S3" s="7">
        <f>G3-F3</f>
        <v>0.17847222222222225</v>
      </c>
      <c r="T3" s="7">
        <f>+Tabla5383940414243[[#This Row],[ALMUERZO]]-Tabla5383940414243[[#This Row],[TERMINO ACT. AM]]</f>
        <v>3.4722222222222099E-3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0.10416666666666663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44859</v>
      </c>
      <c r="D4" s="37">
        <v>0.31944444444444448</v>
      </c>
      <c r="E4" s="37">
        <v>0.33680555555555558</v>
      </c>
      <c r="F4" s="37">
        <v>0.34027777777777773</v>
      </c>
      <c r="G4" s="37">
        <v>0.50694444444444442</v>
      </c>
      <c r="H4" s="37">
        <v>0.51041666666666663</v>
      </c>
      <c r="I4" s="37">
        <v>0.53125</v>
      </c>
      <c r="J4" s="46">
        <v>0.66319444444444442</v>
      </c>
      <c r="K4" s="47"/>
      <c r="M4" s="5"/>
      <c r="N4" s="5" t="s">
        <v>16</v>
      </c>
      <c r="O4" s="4">
        <f>Tabla5383940414243[[#This Row],[FECHA]]</f>
        <v>44859</v>
      </c>
      <c r="P4" s="7">
        <f>D4</f>
        <v>0.31944444444444448</v>
      </c>
      <c r="Q4" s="7">
        <f t="shared" ref="Q4:S7" si="0">E4-D4</f>
        <v>1.7361111111111105E-2</v>
      </c>
      <c r="R4" s="7">
        <f t="shared" si="0"/>
        <v>3.4722222222221544E-3</v>
      </c>
      <c r="S4" s="7">
        <f t="shared" si="0"/>
        <v>0.16666666666666669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2.083333333333337E-2</v>
      </c>
      <c r="V4" s="7">
        <f>+Tabla5383940414243[[#This Row],[TERMINO ACTIVIDADES PM]]-Tabla5383940414243[[#This Row],[INICIO ACTIVIDADES PM]]</f>
        <v>0.13194444444444442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44860</v>
      </c>
      <c r="D5" s="37">
        <v>0.32291666666666669</v>
      </c>
      <c r="E5" s="37">
        <v>0.34027777777777773</v>
      </c>
      <c r="F5" s="37">
        <v>0.34583333333333338</v>
      </c>
      <c r="G5" s="37">
        <v>0.54513888888888895</v>
      </c>
      <c r="H5" s="37">
        <v>0.54861111111111105</v>
      </c>
      <c r="I5" s="37">
        <v>0.57291666666666663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44860</v>
      </c>
      <c r="P5" s="7">
        <f>D5</f>
        <v>0.32291666666666669</v>
      </c>
      <c r="Q5" s="7">
        <f t="shared" si="0"/>
        <v>1.7361111111111049E-2</v>
      </c>
      <c r="R5" s="7">
        <f t="shared" si="0"/>
        <v>5.5555555555556468E-3</v>
      </c>
      <c r="S5" s="7">
        <f t="shared" si="0"/>
        <v>0.19930555555555557</v>
      </c>
      <c r="T5" s="7">
        <f>+Tabla5383940414243[[#This Row],[ALMUERZO]]-Tabla5383940414243[[#This Row],[TERMINO ACT. AM]]</f>
        <v>3.4722222222220989E-3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8.6805555555555358E-2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44861</v>
      </c>
      <c r="D6" s="37">
        <v>0.3298611111111111</v>
      </c>
      <c r="E6" s="37">
        <v>0.34375</v>
      </c>
      <c r="F6" s="37">
        <v>0.35069444444444442</v>
      </c>
      <c r="G6" s="37">
        <v>0.53125</v>
      </c>
      <c r="H6" s="37">
        <v>0.53819444444444442</v>
      </c>
      <c r="I6" s="37">
        <v>0.56597222222222221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44861</v>
      </c>
      <c r="P6" s="7">
        <f>D6</f>
        <v>0.3298611111111111</v>
      </c>
      <c r="Q6" s="7">
        <f t="shared" si="0"/>
        <v>1.3888888888888895E-2</v>
      </c>
      <c r="R6" s="7">
        <f t="shared" si="0"/>
        <v>6.9444444444444198E-3</v>
      </c>
      <c r="S6" s="7">
        <f t="shared" si="0"/>
        <v>0.18055555555555558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9.3749999999999778E-2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44862</v>
      </c>
      <c r="D7" s="37">
        <v>0.31597222222222221</v>
      </c>
      <c r="E7" s="37">
        <v>0.34027777777777773</v>
      </c>
      <c r="F7" s="37">
        <v>0.34375</v>
      </c>
      <c r="G7" s="37">
        <v>0.5</v>
      </c>
      <c r="H7" s="37">
        <v>0.51041666666666663</v>
      </c>
      <c r="I7" s="37">
        <v>0.53472222222222221</v>
      </c>
      <c r="J7" s="46">
        <v>0.66319444444444442</v>
      </c>
      <c r="K7" s="47"/>
      <c r="M7" s="5"/>
      <c r="N7" s="5" t="s">
        <v>18</v>
      </c>
      <c r="O7" s="4">
        <f>Tabla5383940414243[[#This Row],[FECHA]]</f>
        <v>44862</v>
      </c>
      <c r="P7" s="7">
        <f>D7</f>
        <v>0.31597222222222221</v>
      </c>
      <c r="Q7" s="7">
        <f t="shared" si="0"/>
        <v>2.4305555555555525E-2</v>
      </c>
      <c r="R7" s="7">
        <f t="shared" si="0"/>
        <v>3.4722222222222654E-3</v>
      </c>
      <c r="S7" s="7">
        <f t="shared" si="0"/>
        <v>0.15625</v>
      </c>
      <c r="T7" s="7">
        <f>+Tabla5383940414243[[#This Row],[ALMUERZO]]-Tabla5383940414243[[#This Row],[TERMINO ACT. AM]]</f>
        <v>1.041666666666663E-2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0.12847222222222221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0.28263888888888888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0.2986111111111111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0.28611111111111093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0.27430555555555536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0.28472222222222221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0.28527777777777769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0.97809523809523768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5" sqref="G5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44858</v>
      </c>
      <c r="D3" s="37">
        <v>0.33333333333333331</v>
      </c>
      <c r="E3" s="37">
        <v>0.34722222222222227</v>
      </c>
      <c r="F3" s="37">
        <v>0.36458333333333331</v>
      </c>
      <c r="G3" s="46">
        <v>0.60625000000000007</v>
      </c>
      <c r="H3" s="46">
        <v>0.61458333333333337</v>
      </c>
      <c r="I3" s="46">
        <v>0.64236111111111105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44858</v>
      </c>
      <c r="P3" s="7">
        <f>D3</f>
        <v>0.33333333333333331</v>
      </c>
      <c r="Q3" s="7">
        <f>E3-D3</f>
        <v>1.3888888888888951E-2</v>
      </c>
      <c r="R3" s="7">
        <f>F3-E3</f>
        <v>1.7361111111111049E-2</v>
      </c>
      <c r="S3" s="7">
        <f>G3-F3</f>
        <v>0.24166666666666675</v>
      </c>
      <c r="T3" s="7">
        <f>+Tabla538394041424344[[#This Row],[ALMUERZO]]-Tabla538394041424344[[#This Row],[TERMINO ACT. AM]]</f>
        <v>8.3333333333333037E-3</v>
      </c>
      <c r="U3" s="7">
        <f>+Tabla538394041424344[[#This Row],[INICIO ACTIVIDADES PM]]-Tabla538394041424344[[#This Row],[ALMUERZO]]</f>
        <v>2.7777777777777679E-2</v>
      </c>
      <c r="V3" s="7">
        <f>+Tabla538394041424344[[#This Row],[TERMINO ACTIVIDADES PM]]-Tabla538394041424344[[#This Row],[INICIO ACTIVIDADES PM]]</f>
        <v>1.736111111111116E-2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44859</v>
      </c>
      <c r="D4" s="37">
        <v>0.33333333333333331</v>
      </c>
      <c r="E4" s="37">
        <v>0.34722222222222227</v>
      </c>
      <c r="F4" s="37">
        <v>0.3666666666666667</v>
      </c>
      <c r="G4" s="46">
        <v>0.59375</v>
      </c>
      <c r="H4" s="46">
        <v>0.60416666666666663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44859</v>
      </c>
      <c r="P4" s="7">
        <f>D4</f>
        <v>0.33333333333333331</v>
      </c>
      <c r="Q4" s="7">
        <f t="shared" ref="Q4:S7" si="0">E4-D4</f>
        <v>1.3888888888888951E-2</v>
      </c>
      <c r="R4" s="7">
        <f t="shared" si="0"/>
        <v>1.9444444444444431E-2</v>
      </c>
      <c r="S4" s="7">
        <f t="shared" si="0"/>
        <v>0.2270833333333333</v>
      </c>
      <c r="T4" s="7">
        <f>+Tabla538394041424344[[#This Row],[ALMUERZO]]-Tabla538394041424344[[#This Row],[TERMINO ACT. AM]]</f>
        <v>1.041666666666663E-2</v>
      </c>
      <c r="U4" s="7">
        <f>+Tabla538394041424344[[#This Row],[INICIO ACTIVIDADES PM]]-Tabla538394041424344[[#This Row],[ALMUERZO]]</f>
        <v>3.125E-2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44860</v>
      </c>
      <c r="D5" s="37">
        <v>0.33333333333333331</v>
      </c>
      <c r="E5" s="37">
        <v>0.34375</v>
      </c>
      <c r="F5" s="37">
        <v>0.3659722222222222</v>
      </c>
      <c r="G5" s="46">
        <v>0.61458333333333337</v>
      </c>
      <c r="H5" s="46">
        <v>0.625</v>
      </c>
      <c r="I5" s="46">
        <v>0.64930555555555558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44860</v>
      </c>
      <c r="P5" s="7">
        <f>D5</f>
        <v>0.33333333333333331</v>
      </c>
      <c r="Q5" s="7">
        <f t="shared" si="0"/>
        <v>1.0416666666666685E-2</v>
      </c>
      <c r="R5" s="7">
        <f t="shared" si="0"/>
        <v>2.2222222222222199E-2</v>
      </c>
      <c r="S5" s="7">
        <f t="shared" si="0"/>
        <v>0.24861111111111117</v>
      </c>
      <c r="T5" s="7">
        <f>+Tabla538394041424344[[#This Row],[ALMUERZO]]-Tabla538394041424344[[#This Row],[TERMINO ACT. AM]]</f>
        <v>1.041666666666663E-2</v>
      </c>
      <c r="U5" s="7">
        <f>+Tabla538394041424344[[#This Row],[INICIO ACTIVIDADES PM]]-Tabla538394041424344[[#This Row],[ALMUERZO]]</f>
        <v>2.430555555555558E-2</v>
      </c>
      <c r="V5" s="7">
        <f>+Tabla538394041424344[[#This Row],[TERMINO ACTIVIDADES PM]]-Tabla538394041424344[[#This Row],[INICIO ACTIVIDADES PM]]</f>
        <v>1.041666666666663E-2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44861</v>
      </c>
      <c r="D6" s="37">
        <v>0.33333333333333331</v>
      </c>
      <c r="E6" s="37">
        <v>0.34722222222222227</v>
      </c>
      <c r="F6" s="37">
        <v>0.36527777777777781</v>
      </c>
      <c r="G6" s="46">
        <v>0.60763888888888895</v>
      </c>
      <c r="H6" s="37">
        <v>0.61458333333333337</v>
      </c>
      <c r="I6" s="46">
        <v>0.63541666666666663</v>
      </c>
      <c r="J6" s="46">
        <v>0.65972222222222199</v>
      </c>
      <c r="K6" s="47"/>
      <c r="M6" s="5"/>
      <c r="N6" s="5" t="s">
        <v>17</v>
      </c>
      <c r="O6" s="4">
        <f>Tabla538394041424344[[#This Row],[FECHA]]</f>
        <v>44861</v>
      </c>
      <c r="P6" s="7">
        <f>D6</f>
        <v>0.33333333333333331</v>
      </c>
      <c r="Q6" s="7">
        <f t="shared" si="0"/>
        <v>1.3888888888888951E-2</v>
      </c>
      <c r="R6" s="7">
        <f t="shared" si="0"/>
        <v>1.8055555555555547E-2</v>
      </c>
      <c r="S6" s="7">
        <f t="shared" si="0"/>
        <v>0.24236111111111114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2.0833333333333259E-2</v>
      </c>
      <c r="V6" s="7">
        <f>+Tabla538394041424344[[#This Row],[TERMINO ACTIVIDADES PM]]-Tabla538394041424344[[#This Row],[INICIO ACTIVIDADES PM]]</f>
        <v>2.4305555555555358E-2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44862</v>
      </c>
      <c r="D7" s="37">
        <v>0.33333333333333331</v>
      </c>
      <c r="E7" s="37">
        <v>0.34375</v>
      </c>
      <c r="F7" s="37">
        <v>0.36805555555555558</v>
      </c>
      <c r="G7" s="46">
        <v>0.60763888888888895</v>
      </c>
      <c r="H7" s="46">
        <v>0.61458333333333337</v>
      </c>
      <c r="I7" s="46">
        <v>0.64374999999999993</v>
      </c>
      <c r="J7" s="46">
        <v>0.65972222222222199</v>
      </c>
      <c r="K7" s="47"/>
      <c r="M7" s="5"/>
      <c r="N7" s="5" t="s">
        <v>18</v>
      </c>
      <c r="O7" s="4">
        <f>Tabla538394041424344[[#This Row],[FECHA]]</f>
        <v>44862</v>
      </c>
      <c r="P7" s="7">
        <f>D7</f>
        <v>0.33333333333333331</v>
      </c>
      <c r="Q7" s="7">
        <f t="shared" si="0"/>
        <v>1.0416666666666685E-2</v>
      </c>
      <c r="R7" s="7">
        <f t="shared" si="0"/>
        <v>2.430555555555558E-2</v>
      </c>
      <c r="S7" s="7">
        <f t="shared" si="0"/>
        <v>0.23958333333333337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2.9166666666666563E-2</v>
      </c>
      <c r="V7" s="7">
        <f>+Tabla538394041424344[[#This Row],[TERMINO ACTIVIDADES PM]]-Tabla538394041424344[[#This Row],[INICIO ACTIVIDADES PM]]</f>
        <v>1.5972222222222054E-2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0.25902777777777791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0.25138888888888888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0.2590277777777778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0.2666666666666665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0.25555555555555542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0.2583333333333333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1.0333333333333332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44858</v>
      </c>
      <c r="D3" s="37">
        <v>0.3125</v>
      </c>
      <c r="E3" s="37">
        <v>0.32291666666666669</v>
      </c>
      <c r="F3" s="37">
        <v>0.3527777777777778</v>
      </c>
      <c r="G3" s="37">
        <v>0.50069444444444444</v>
      </c>
      <c r="H3" s="37">
        <v>0.50694444444444442</v>
      </c>
      <c r="I3" s="37">
        <v>0.53125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44858</v>
      </c>
      <c r="P3" s="7">
        <f>D3</f>
        <v>0.3125</v>
      </c>
      <c r="Q3" s="7">
        <f>E3-D3</f>
        <v>1.0416666666666685E-2</v>
      </c>
      <c r="R3" s="7">
        <f>F3-E3</f>
        <v>2.9861111111111116E-2</v>
      </c>
      <c r="S3" s="7">
        <f>G3-F3</f>
        <v>0.14791666666666664</v>
      </c>
      <c r="T3" s="7">
        <f>+Tabla5383940414243444546[[#This Row],[ALMUERZO]]-Tabla5383940414243444546[[#This Row],[TERMINO ACT. AM]]</f>
        <v>6.2499999999999778E-3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0.125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44859</v>
      </c>
      <c r="D4" s="37">
        <v>0.30694444444444441</v>
      </c>
      <c r="E4" s="37">
        <v>0.31875000000000003</v>
      </c>
      <c r="F4" s="37">
        <v>0.35416666666666669</v>
      </c>
      <c r="G4" s="37">
        <v>0.57638888888888895</v>
      </c>
      <c r="H4" s="37">
        <v>0.58680555555555558</v>
      </c>
      <c r="I4" s="37">
        <v>0.61458333333333337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44859</v>
      </c>
      <c r="P4" s="7">
        <f>D4</f>
        <v>0.30694444444444441</v>
      </c>
      <c r="Q4" s="7">
        <f t="shared" ref="Q4:S7" si="0">E4-D4</f>
        <v>1.1805555555555625E-2</v>
      </c>
      <c r="R4" s="7">
        <f t="shared" si="0"/>
        <v>3.5416666666666652E-2</v>
      </c>
      <c r="S4" s="7">
        <f t="shared" si="0"/>
        <v>0.22222222222222227</v>
      </c>
      <c r="T4" s="7">
        <f>+Tabla5383940414243444546[[#This Row],[ALMUERZO]]-Tabla5383940414243444546[[#This Row],[TERMINO ACT. AM]]</f>
        <v>1.041666666666663E-2</v>
      </c>
      <c r="U4" s="7">
        <f>+Tabla5383940414243444546[[#This Row],[INICIO ACTIVIDADES PM]]-Tabla5383940414243444546[[#This Row],[ALMUERZO]]</f>
        <v>2.777777777777779E-2</v>
      </c>
      <c r="V4" s="7">
        <f>+Tabla5383940414243444546[[#This Row],[TERMINO ACTIVIDADES PM]]-Tabla5383940414243444546[[#This Row],[INICIO ACTIVIDADES PM]]</f>
        <v>3.819444444444442E-2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44860</v>
      </c>
      <c r="D5" s="37">
        <v>0.31180555555555556</v>
      </c>
      <c r="E5" s="37">
        <v>0.32500000000000001</v>
      </c>
      <c r="F5" s="37">
        <v>0.34375</v>
      </c>
      <c r="G5" s="37">
        <v>0.51041666666666663</v>
      </c>
      <c r="H5" s="37">
        <v>0.51736111111111105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44860</v>
      </c>
      <c r="P5" s="7">
        <f>D5</f>
        <v>0.31180555555555556</v>
      </c>
      <c r="Q5" s="7">
        <f t="shared" si="0"/>
        <v>1.3194444444444453E-2</v>
      </c>
      <c r="R5" s="7">
        <f t="shared" si="0"/>
        <v>1.8749999999999989E-2</v>
      </c>
      <c r="S5" s="7">
        <f t="shared" si="0"/>
        <v>0.16666666666666663</v>
      </c>
      <c r="T5" s="7">
        <f>+Tabla5383940414243444546[[#This Row],[ALMUERZO]]-Tabla5383940414243444546[[#This Row],[TERMINO ACT. AM]]</f>
        <v>6.9444444444444198E-3</v>
      </c>
      <c r="U5" s="7">
        <f>+Tabla5383940414243444546[[#This Row],[INICIO ACTIVIDADES PM]]-Tabla5383940414243444546[[#This Row],[ALMUERZO]]</f>
        <v>3.4722222222222321E-2</v>
      </c>
      <c r="V5" s="7">
        <f>+Tabla5383940414243444546[[#This Row],[TERMINO ACTIVIDADES PM]]-Tabla5383940414243444546[[#This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44861</v>
      </c>
      <c r="D6" s="37">
        <v>0.30694444444444441</v>
      </c>
      <c r="E6" s="37">
        <v>0.31875000000000003</v>
      </c>
      <c r="F6" s="37">
        <v>0.34583333333333338</v>
      </c>
      <c r="G6" s="37">
        <v>0.50694444444444442</v>
      </c>
      <c r="H6" s="37">
        <v>0.51388888888888895</v>
      </c>
      <c r="I6" s="37">
        <v>0.54513888888888895</v>
      </c>
      <c r="J6" s="46">
        <v>0.64930555555555558</v>
      </c>
      <c r="K6" s="47"/>
      <c r="M6" s="5"/>
      <c r="N6" s="5" t="s">
        <v>17</v>
      </c>
      <c r="O6" s="4">
        <f>Tabla5383940414243444546[[#This Row],[FECHA]]</f>
        <v>44861</v>
      </c>
      <c r="P6" s="7">
        <f>D6</f>
        <v>0.30694444444444441</v>
      </c>
      <c r="Q6" s="7">
        <f t="shared" si="0"/>
        <v>1.1805555555555625E-2</v>
      </c>
      <c r="R6" s="7">
        <f t="shared" si="0"/>
        <v>2.7083333333333348E-2</v>
      </c>
      <c r="S6" s="7">
        <f t="shared" si="0"/>
        <v>0.16111111111111104</v>
      </c>
      <c r="T6" s="7">
        <f>+Tabla5383940414243444546[[#This Row],[ALMUERZO]]-Tabla5383940414243444546[[#This Row],[TERMINO ACT. AM]]</f>
        <v>6.9444444444445308E-3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0.10416666666666663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44862</v>
      </c>
      <c r="D7" s="37">
        <v>0.31180555555555556</v>
      </c>
      <c r="E7" s="37">
        <v>0.32500000000000001</v>
      </c>
      <c r="F7" s="37">
        <v>0.35069444444444442</v>
      </c>
      <c r="G7" s="37">
        <v>0.50694444444444442</v>
      </c>
      <c r="H7" s="37">
        <v>0.51041666666666663</v>
      </c>
      <c r="I7" s="37">
        <v>0.54166666666666663</v>
      </c>
      <c r="J7" s="46">
        <v>0.65277777777777779</v>
      </c>
      <c r="K7" s="47"/>
      <c r="M7" s="5"/>
      <c r="N7" s="5" t="s">
        <v>18</v>
      </c>
      <c r="O7" s="4">
        <f>Tabla5383940414243444546[[#This Row],[FECHA]]</f>
        <v>44862</v>
      </c>
      <c r="P7" s="7">
        <f>D7</f>
        <v>0.31180555555555556</v>
      </c>
      <c r="Q7" s="7">
        <f t="shared" si="0"/>
        <v>1.3194444444444453E-2</v>
      </c>
      <c r="R7" s="7">
        <f t="shared" si="0"/>
        <v>2.5694444444444409E-2</v>
      </c>
      <c r="S7" s="7">
        <f t="shared" si="0"/>
        <v>0.15625</v>
      </c>
      <c r="T7" s="7">
        <f>+Tabla5383940414243444546[[#This Row],[ALMUERZO]]-Tabla5383940414243444546[[#This Row],[TERMINO ACT. AM]]</f>
        <v>3.4722222222222099E-3</v>
      </c>
      <c r="U7" s="7">
        <f>+Tabla5383940414243444546[[#This Row],[INICIO ACTIVIDADES PM]]-Tabla5383940414243444546[[#This Row],[ALMUERZO]]</f>
        <v>3.125E-2</v>
      </c>
      <c r="V7" s="7">
        <f>+Tabla5383940414243444546[[#This Row],[TERMINO ACTIVIDADES PM]]-Tabla5383940414243444546[[#This Row],[INICIO ACTIVIDADES PM]]</f>
        <v>0.11111111111111116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0.27291666666666664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0.26041666666666669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0.26736111111111105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0.26527777777777767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0.26736111111111116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0.26666666666666666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1.0666666666666667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0.2583333333333333</v>
      </c>
      <c r="D2" s="69">
        <f t="shared" ref="D2:D9" si="0">+C2/$C$17</f>
        <v>1.0333333333333332</v>
      </c>
      <c r="F2" s="79"/>
    </row>
    <row r="3" spans="2:16" x14ac:dyDescent="0.3">
      <c r="B3" s="72" t="s">
        <v>56</v>
      </c>
      <c r="C3" s="73">
        <f>+'SUB 6'!G21</f>
        <v>0.24694444444444433</v>
      </c>
      <c r="D3" s="69">
        <f t="shared" si="0"/>
        <v>0.98777777777777731</v>
      </c>
      <c r="F3" s="79"/>
    </row>
    <row r="4" spans="2:16" x14ac:dyDescent="0.3">
      <c r="B4" s="72" t="s">
        <v>55</v>
      </c>
      <c r="C4" s="73">
        <f>+'SUB 5'!G21</f>
        <v>0.24597222222222218</v>
      </c>
      <c r="D4" s="69">
        <f t="shared" si="0"/>
        <v>0.9838888888888887</v>
      </c>
      <c r="F4" s="79"/>
    </row>
    <row r="5" spans="2:16" x14ac:dyDescent="0.3">
      <c r="B5" s="72" t="s">
        <v>54</v>
      </c>
      <c r="C5" s="73">
        <f>+'TTE 6 '!G21</f>
        <v>0.24416666666666648</v>
      </c>
      <c r="D5" s="69">
        <f t="shared" si="0"/>
        <v>0.97666666666666591</v>
      </c>
      <c r="F5" s="79"/>
    </row>
    <row r="6" spans="2:16" x14ac:dyDescent="0.3">
      <c r="B6" s="72" t="s">
        <v>58</v>
      </c>
      <c r="C6" s="73">
        <f>+DIABLO!G21</f>
        <v>0.24486111111111111</v>
      </c>
      <c r="D6" s="69">
        <f t="shared" si="0"/>
        <v>0.97944444444444445</v>
      </c>
      <c r="F6" s="79"/>
    </row>
    <row r="7" spans="2:16" x14ac:dyDescent="0.3">
      <c r="B7" s="72" t="s">
        <v>57</v>
      </c>
      <c r="C7" s="73">
        <f>+'PIPA N'!G21</f>
        <v>0.24916666666666662</v>
      </c>
      <c r="D7" s="69">
        <f t="shared" si="0"/>
        <v>0.99666666666666648</v>
      </c>
      <c r="F7" s="79"/>
    </row>
    <row r="8" spans="2:16" x14ac:dyDescent="0.3">
      <c r="B8" s="72" t="s">
        <v>66</v>
      </c>
      <c r="C8" s="73">
        <f>+'CH colon'!G21</f>
        <v>0.26666666666666666</v>
      </c>
      <c r="D8" s="69">
        <f t="shared" si="0"/>
        <v>1.0666666666666667</v>
      </c>
      <c r="F8" s="79"/>
    </row>
    <row r="9" spans="2:16" x14ac:dyDescent="0.3">
      <c r="B9" s="74" t="s">
        <v>92</v>
      </c>
      <c r="C9" s="73">
        <f>+Salvataje!G21</f>
        <v>0.24569444444444438</v>
      </c>
      <c r="D9" s="69">
        <f t="shared" si="0"/>
        <v>0.98277777777777753</v>
      </c>
      <c r="F9" s="79"/>
    </row>
    <row r="10" spans="2:16" x14ac:dyDescent="0.3">
      <c r="B10" s="72" t="s">
        <v>64</v>
      </c>
      <c r="C10" s="73">
        <f>+'LA JUNTA'!G21</f>
        <v>0.28527777777777769</v>
      </c>
      <c r="D10" s="69">
        <f>+C10/$C$19</f>
        <v>0.97809523809523768</v>
      </c>
      <c r="F10" s="79"/>
    </row>
    <row r="11" spans="2:16" x14ac:dyDescent="0.3">
      <c r="B11" s="72" t="s">
        <v>62</v>
      </c>
      <c r="C11" s="73">
        <f>+AC!G21</f>
        <v>0.26555555555555549</v>
      </c>
      <c r="D11" s="69">
        <f>+C11/$C$17</f>
        <v>1.062222222222222</v>
      </c>
      <c r="F11" s="79"/>
      <c r="P11" s="80"/>
    </row>
    <row r="12" spans="2:16" x14ac:dyDescent="0.3">
      <c r="B12" s="72" t="s">
        <v>63</v>
      </c>
      <c r="C12" s="73">
        <f>+Colec!G21</f>
        <v>0.25500000000000006</v>
      </c>
      <c r="D12" s="69">
        <f>+C12/$C$17</f>
        <v>1.0200000000000002</v>
      </c>
      <c r="F12" s="79"/>
    </row>
    <row r="13" spans="2:16" x14ac:dyDescent="0.3">
      <c r="B13" s="72" t="s">
        <v>61</v>
      </c>
      <c r="C13" s="73">
        <f>+'P M'!G21</f>
        <v>0.25375000000000003</v>
      </c>
      <c r="D13" s="69">
        <f>+C13/$C$17</f>
        <v>1.0150000000000001</v>
      </c>
      <c r="F13" s="79"/>
    </row>
    <row r="14" spans="2:16" x14ac:dyDescent="0.3">
      <c r="B14" s="72" t="s">
        <v>60</v>
      </c>
      <c r="C14" s="73">
        <f>+'Vent '!G21</f>
        <v>0.24722222222222223</v>
      </c>
      <c r="D14" s="69">
        <f>+C14/$C$17</f>
        <v>0.98888888888888893</v>
      </c>
      <c r="F14" s="79"/>
    </row>
    <row r="15" spans="2:16" x14ac:dyDescent="0.3">
      <c r="B15" s="72" t="s">
        <v>59</v>
      </c>
      <c r="C15" s="73">
        <f>+ACCU!G21</f>
        <v>0.4443055555555554</v>
      </c>
      <c r="D15" s="69">
        <f>+C15/$C$18</f>
        <v>1.048852459016393</v>
      </c>
      <c r="F15" s="79"/>
    </row>
    <row r="16" spans="2:16" x14ac:dyDescent="0.3">
      <c r="B16" s="72" t="s">
        <v>51</v>
      </c>
      <c r="C16" s="73">
        <f>AVERAGE(C2:C15)</f>
        <v>0.2680654761904761</v>
      </c>
    </row>
    <row r="17" spans="2:4" x14ac:dyDescent="0.3">
      <c r="B17" s="72" t="s">
        <v>52</v>
      </c>
      <c r="C17" s="73">
        <v>0.25</v>
      </c>
      <c r="D17" s="55">
        <f>+AVERAGE(D2:D16)</f>
        <v>1.0085915021746401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K10" sqref="K10:M10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3">
        <f>+'TTE 6 '!C3</f>
        <v>44858</v>
      </c>
      <c r="C4" s="194"/>
      <c r="D4" s="194"/>
      <c r="E4" s="184">
        <f>+'TTE 6 '!C4</f>
        <v>44859</v>
      </c>
      <c r="F4" s="185"/>
      <c r="G4" s="185"/>
      <c r="H4" s="195">
        <f>+'TTE 6 '!C5</f>
        <v>44860</v>
      </c>
      <c r="I4" s="196"/>
      <c r="J4" s="197"/>
      <c r="K4" s="184">
        <f>+'TTE 6 '!C6</f>
        <v>44861</v>
      </c>
      <c r="L4" s="185"/>
      <c r="M4" s="185"/>
      <c r="N4" s="186">
        <f>+'TTE 6 '!C7</f>
        <v>44862</v>
      </c>
      <c r="O4" s="187"/>
      <c r="P4" s="188"/>
      <c r="Q4" s="184">
        <f>+'TTE 6 '!C8</f>
        <v>44863</v>
      </c>
      <c r="R4" s="185"/>
      <c r="S4" s="185"/>
      <c r="T4" s="186">
        <f>+'TTE 6 '!C9</f>
        <v>44864</v>
      </c>
      <c r="U4" s="187"/>
      <c r="V4" s="189"/>
      <c r="W4" s="190" t="s">
        <v>107</v>
      </c>
      <c r="X4" s="191"/>
      <c r="Y4" s="192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98" t="s">
        <v>110</v>
      </c>
      <c r="X6" s="182"/>
      <c r="Y6" s="199"/>
    </row>
    <row r="7" spans="1:25" x14ac:dyDescent="0.3">
      <c r="A7" s="96" t="s">
        <v>111</v>
      </c>
      <c r="B7" s="117"/>
      <c r="C7" s="118"/>
      <c r="D7" s="118">
        <f>+'TTE 7'!D3</f>
        <v>0.33333333333333331</v>
      </c>
      <c r="E7" s="97"/>
      <c r="F7" s="143"/>
      <c r="G7" s="143">
        <f>+'TTE 7'!D4</f>
        <v>0.33333333333333331</v>
      </c>
      <c r="H7" s="117"/>
      <c r="I7" s="174"/>
      <c r="J7" s="174">
        <f>+'TTE 7'!D5</f>
        <v>0.33333333333333331</v>
      </c>
      <c r="K7" s="97"/>
      <c r="L7" s="143"/>
      <c r="M7" s="143">
        <f>+'TTE 7'!D6</f>
        <v>0.33333333333333331</v>
      </c>
      <c r="N7" s="97"/>
      <c r="O7" s="143"/>
      <c r="P7" s="143">
        <f>+'TTE 7'!D7</f>
        <v>0.33333333333333331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0.33333333333333331</v>
      </c>
    </row>
    <row r="8" spans="1:25" x14ac:dyDescent="0.3">
      <c r="A8" s="96" t="s">
        <v>112</v>
      </c>
      <c r="B8" s="117"/>
      <c r="C8" s="118"/>
      <c r="D8" s="118">
        <f>+'TTE 7'!J3</f>
        <v>0.65972222222222221</v>
      </c>
      <c r="E8" s="97"/>
      <c r="F8" s="98"/>
      <c r="G8" s="98">
        <f>+'TTE 7'!J4</f>
        <v>0.65972222222222221</v>
      </c>
      <c r="H8" s="117"/>
      <c r="I8" s="118"/>
      <c r="J8" s="118">
        <f>+'TTE 7'!J5</f>
        <v>0.65972222222222221</v>
      </c>
      <c r="K8" s="97"/>
      <c r="L8" s="98"/>
      <c r="M8" s="98">
        <f>+'TTE 7'!J6</f>
        <v>0.65972222222222199</v>
      </c>
      <c r="N8" s="97"/>
      <c r="O8" s="98"/>
      <c r="P8" s="98">
        <f>+'TTE 7'!J7</f>
        <v>0.65972222222222199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0.6597222222222221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0.25902777777777791</v>
      </c>
      <c r="E9" s="110"/>
      <c r="F9" s="139"/>
      <c r="G9" s="139">
        <f>+'TTE 7'!G17</f>
        <v>0.25138888888888888</v>
      </c>
      <c r="H9" s="127"/>
      <c r="I9" s="128"/>
      <c r="J9" s="128">
        <f>+'TTE 7'!G18</f>
        <v>0.2590277777777778</v>
      </c>
      <c r="K9" s="110"/>
      <c r="L9" s="139"/>
      <c r="M9" s="139">
        <f>+'TTE 7'!G19</f>
        <v>0.2666666666666665</v>
      </c>
      <c r="N9" s="110"/>
      <c r="O9" s="139"/>
      <c r="P9" s="139">
        <f>+'TTE 7'!G20</f>
        <v>0.25555555555555542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0.2583333333333333</v>
      </c>
    </row>
    <row r="10" spans="1:25" ht="16.2" thickBot="1" x14ac:dyDescent="0.35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98" t="s">
        <v>110</v>
      </c>
      <c r="X10" s="182"/>
      <c r="Y10" s="199"/>
    </row>
    <row r="11" spans="1:25" x14ac:dyDescent="0.3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0.67708333333333337</v>
      </c>
      <c r="M11" s="98"/>
      <c r="N11" s="97"/>
      <c r="O11" s="98">
        <f>+'SUB 6'!D7</f>
        <v>0.67708333333333337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0.67500000000000004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0.25277777777777755</v>
      </c>
      <c r="D13" s="118"/>
      <c r="E13" s="110"/>
      <c r="F13" s="98">
        <f>+'SUB 6'!G17</f>
        <v>0.23680555555555527</v>
      </c>
      <c r="G13" s="98"/>
      <c r="H13" s="127"/>
      <c r="I13" s="118">
        <f>+'SUB 6'!G18</f>
        <v>0.24305555555555536</v>
      </c>
      <c r="J13" s="118"/>
      <c r="K13" s="110"/>
      <c r="L13" s="98">
        <f>+'SUB 6'!G19</f>
        <v>0.25208333333333333</v>
      </c>
      <c r="M13" s="98"/>
      <c r="N13" s="110"/>
      <c r="O13" s="98">
        <f>+'SUB 6'!G20</f>
        <v>0.25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0.24694444444444433</v>
      </c>
      <c r="Y13" s="153" t="str">
        <f t="shared" si="1"/>
        <v/>
      </c>
    </row>
    <row r="14" spans="1:25" ht="16.2" thickBot="1" x14ac:dyDescent="0.35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98" t="s">
        <v>110</v>
      </c>
      <c r="X14" s="182"/>
      <c r="Y14" s="199"/>
    </row>
    <row r="15" spans="1:25" x14ac:dyDescent="0.3">
      <c r="A15" s="96" t="s">
        <v>111</v>
      </c>
      <c r="B15" s="117"/>
      <c r="C15" s="119">
        <f>+'SUB 5'!D3</f>
        <v>0.34375</v>
      </c>
      <c r="D15" s="119"/>
      <c r="E15" s="117"/>
      <c r="F15" s="118">
        <f>+'SUB 5'!D4</f>
        <v>0.34027777777777773</v>
      </c>
      <c r="G15" s="118"/>
      <c r="H15" s="117"/>
      <c r="I15" s="118">
        <f>+'SUB 5'!D5</f>
        <v>0.34166666666666662</v>
      </c>
      <c r="J15" s="118"/>
      <c r="K15" s="117"/>
      <c r="L15" s="118">
        <f>+'SUB 5'!D6</f>
        <v>0.34375</v>
      </c>
      <c r="M15" s="118"/>
      <c r="N15" s="117"/>
      <c r="O15" s="118">
        <f>+'SUB 5'!D7</f>
        <v>0.35069444444444442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0.34402777777777771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0.65972222222222221</v>
      </c>
      <c r="M16" s="118"/>
      <c r="N16" s="117"/>
      <c r="O16" s="118">
        <f>+'SUB 5'!J7</f>
        <v>0.65972222222222221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0.65972222222222221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0.24791666666666667</v>
      </c>
      <c r="D17" s="119"/>
      <c r="E17" s="127"/>
      <c r="F17" s="118">
        <f>+'SUB 5'!G17</f>
        <v>0.25208333333333327</v>
      </c>
      <c r="G17" s="118"/>
      <c r="H17" s="127"/>
      <c r="I17" s="118">
        <f>+'SUB 5'!G18</f>
        <v>0.24375000000000002</v>
      </c>
      <c r="J17" s="118"/>
      <c r="K17" s="127"/>
      <c r="L17" s="118">
        <f>+'SUB 5'!G19</f>
        <v>0.23888888888888876</v>
      </c>
      <c r="M17" s="118"/>
      <c r="N17" s="127"/>
      <c r="O17" s="118">
        <f>+'SUB 5'!G20</f>
        <v>0.24722222222222223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0.24597222222222218</v>
      </c>
      <c r="Y17" s="150" t="str">
        <f t="shared" si="2"/>
        <v/>
      </c>
    </row>
    <row r="18" spans="1:25" ht="16.2" thickBot="1" x14ac:dyDescent="0.35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98" t="s">
        <v>110</v>
      </c>
      <c r="X18" s="182"/>
      <c r="Y18" s="199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0.33958333333333335</v>
      </c>
      <c r="G19" s="101"/>
      <c r="H19" s="117"/>
      <c r="I19" s="118">
        <f>+'TTE 6 '!D5</f>
        <v>0.33819444444444446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0.33888888888888885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0.33805555555555555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0.24513888888888874</v>
      </c>
      <c r="D21" s="130"/>
      <c r="E21" s="110"/>
      <c r="F21" s="98">
        <f>+'TTE 6 '!G17</f>
        <v>0.23958333333333298</v>
      </c>
      <c r="G21" s="112"/>
      <c r="H21" s="127"/>
      <c r="I21" s="118">
        <f>+'TTE 6 '!G18</f>
        <v>0.24305555555555536</v>
      </c>
      <c r="J21" s="130"/>
      <c r="K21" s="110"/>
      <c r="L21" s="98">
        <f>+'TTE 6 '!G19</f>
        <v>0.24513888888888863</v>
      </c>
      <c r="M21" s="112"/>
      <c r="N21" s="110"/>
      <c r="O21" s="98">
        <f>+'TTE 6 '!G20</f>
        <v>0.24791666666666667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0.24416666666666648</v>
      </c>
      <c r="Y21" s="116" t="str">
        <f t="shared" si="3"/>
        <v/>
      </c>
    </row>
    <row r="22" spans="1:25" ht="16.2" thickBot="1" x14ac:dyDescent="0.35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98" t="s">
        <v>110</v>
      </c>
      <c r="X22" s="182"/>
      <c r="Y22" s="199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0.98958333333333337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0.92847222222222214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0.24097222222222237</v>
      </c>
      <c r="E25" s="110"/>
      <c r="F25" s="98"/>
      <c r="G25" s="98">
        <f>+DIABLO!G17</f>
        <v>0.24513888888888891</v>
      </c>
      <c r="H25" s="127"/>
      <c r="I25" s="118"/>
      <c r="J25" s="118">
        <f>+DIABLO!G18</f>
        <v>0.24861111111111101</v>
      </c>
      <c r="K25" s="110"/>
      <c r="L25" s="98"/>
      <c r="M25" s="98">
        <f>+DIABLO!G19</f>
        <v>0.24305555555555547</v>
      </c>
      <c r="N25" s="110"/>
      <c r="O25" s="98"/>
      <c r="P25" s="98">
        <f>+DIABLO!G20</f>
        <v>0.24652777777777779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0.24486111111111111</v>
      </c>
    </row>
    <row r="26" spans="1:25" ht="16.2" thickBot="1" x14ac:dyDescent="0.35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98" t="s">
        <v>110</v>
      </c>
      <c r="X26" s="182"/>
      <c r="Y26" s="199"/>
    </row>
    <row r="27" spans="1:25" x14ac:dyDescent="0.3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0.40486111111111106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0.24722222222222218</v>
      </c>
      <c r="D29" s="118"/>
      <c r="E29" s="110"/>
      <c r="F29" s="98">
        <f>+'PIPA N'!G17</f>
        <v>0.24583333333333324</v>
      </c>
      <c r="G29" s="98"/>
      <c r="H29" s="127"/>
      <c r="I29" s="118">
        <f>+'PIPA N'!G18</f>
        <v>0.24305555555555552</v>
      </c>
      <c r="J29" s="118"/>
      <c r="K29" s="110"/>
      <c r="L29" s="98">
        <f>+'PIPA N'!G19</f>
        <v>0.25416666666666671</v>
      </c>
      <c r="M29" s="98"/>
      <c r="N29" s="110"/>
      <c r="O29" s="98">
        <f>+'PIPA N'!G20</f>
        <v>0.25555555555555548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0.24916666666666662</v>
      </c>
      <c r="Y29" s="153" t="str">
        <f t="shared" si="6"/>
        <v/>
      </c>
    </row>
    <row r="30" spans="1:25" ht="16.2" thickBot="1" x14ac:dyDescent="0.35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98" t="s">
        <v>110</v>
      </c>
      <c r="X30" s="182"/>
      <c r="Y30" s="199"/>
    </row>
    <row r="31" spans="1:25" x14ac:dyDescent="0.3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0.30694444444444441</v>
      </c>
      <c r="G31" s="98"/>
      <c r="H31" s="117"/>
      <c r="I31" s="118">
        <f>+'CH colon'!D5</f>
        <v>0.31180555555555556</v>
      </c>
      <c r="J31" s="118"/>
      <c r="K31" s="97"/>
      <c r="L31" s="98">
        <f>+'CH colon'!D6</f>
        <v>0.30694444444444441</v>
      </c>
      <c r="M31" s="98"/>
      <c r="N31" s="97"/>
      <c r="O31" s="98">
        <f>+'CH colon'!D7</f>
        <v>0.31180555555555556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0.30999999999999994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0.64930555555555558</v>
      </c>
      <c r="M32" s="98"/>
      <c r="N32" s="97"/>
      <c r="O32" s="98">
        <f>+'CH colon'!J7</f>
        <v>0.65277777777777779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0.65277777777777768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0.27291666666666664</v>
      </c>
      <c r="D33" s="118"/>
      <c r="E33" s="110"/>
      <c r="F33" s="98">
        <f>+'CH colon'!G17</f>
        <v>0.26041666666666669</v>
      </c>
      <c r="G33" s="98"/>
      <c r="H33" s="127"/>
      <c r="I33" s="118">
        <f>+'CH colon'!G18</f>
        <v>0.26736111111111105</v>
      </c>
      <c r="J33" s="118"/>
      <c r="K33" s="110"/>
      <c r="L33" s="98">
        <f>+'CH colon'!G19</f>
        <v>0.26527777777777767</v>
      </c>
      <c r="M33" s="98"/>
      <c r="N33" s="110"/>
      <c r="O33" s="98">
        <f>+'CH colon'!G20</f>
        <v>0.26736111111111116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0.26666666666666666</v>
      </c>
      <c r="Y33" s="116" t="str">
        <f t="shared" si="7"/>
        <v/>
      </c>
    </row>
    <row r="34" spans="1:25" ht="16.2" thickBot="1" x14ac:dyDescent="0.35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98" t="s">
        <v>110</v>
      </c>
      <c r="X34" s="182"/>
      <c r="Y34" s="199"/>
    </row>
    <row r="35" spans="1:25" x14ac:dyDescent="0.3">
      <c r="A35" s="96" t="s">
        <v>111</v>
      </c>
      <c r="B35" s="117"/>
      <c r="C35" s="118">
        <f>+Salvataje!D3</f>
        <v>0.34027777777777773</v>
      </c>
      <c r="D35" s="121"/>
      <c r="E35" s="97"/>
      <c r="F35" s="98">
        <f>+Salvataje!D4</f>
        <v>0.34375</v>
      </c>
      <c r="G35" s="101"/>
      <c r="H35" s="117"/>
      <c r="I35" s="118">
        <f>+Salvataje!D5</f>
        <v>0.34375</v>
      </c>
      <c r="J35" s="121"/>
      <c r="K35" s="97"/>
      <c r="L35" s="98">
        <f>+Salvataje!D6</f>
        <v>0.34027777777777773</v>
      </c>
      <c r="M35" s="101"/>
      <c r="N35" s="97"/>
      <c r="O35" s="98">
        <f>+Salvataje!D7</f>
        <v>0.34027777777777773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0.34166666666666662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0.65972222222222221</v>
      </c>
      <c r="J36" s="121"/>
      <c r="K36" s="97"/>
      <c r="L36" s="98">
        <f>+Salvataje!J6</f>
        <v>0.65972222222222221</v>
      </c>
      <c r="M36" s="101"/>
      <c r="N36" s="97"/>
      <c r="O36" s="98">
        <f>+Salvataje!J7</f>
        <v>0.65972222222222221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0.65902777777777788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0.24513888888888885</v>
      </c>
      <c r="D37" s="130"/>
      <c r="E37" s="110"/>
      <c r="F37" s="98">
        <f>+Salvataje!G17</f>
        <v>0.24513888888888891</v>
      </c>
      <c r="G37" s="112"/>
      <c r="H37" s="127"/>
      <c r="I37" s="118">
        <f>+Salvataje!G18</f>
        <v>0.24513888888888891</v>
      </c>
      <c r="J37" s="130"/>
      <c r="K37" s="110"/>
      <c r="L37" s="98">
        <f>+Salvataje!G19</f>
        <v>0.24791666666666651</v>
      </c>
      <c r="M37" s="112"/>
      <c r="N37" s="110"/>
      <c r="O37" s="98">
        <f>+Salvataje!G20</f>
        <v>0.24513888888888874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0.24569444444444438</v>
      </c>
      <c r="Y37" s="116" t="str">
        <f t="shared" si="8"/>
        <v/>
      </c>
    </row>
    <row r="38" spans="1:25" ht="16.2" thickBot="1" x14ac:dyDescent="0.35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98" t="s">
        <v>110</v>
      </c>
      <c r="X38" s="182"/>
      <c r="Y38" s="199"/>
    </row>
    <row r="39" spans="1:25" x14ac:dyDescent="0.3">
      <c r="A39" s="96" t="s">
        <v>111</v>
      </c>
      <c r="B39" s="117"/>
      <c r="C39" s="118">
        <f>+'LA JUNTA'!D3</f>
        <v>0.3263888888888889</v>
      </c>
      <c r="D39" s="121"/>
      <c r="E39" s="97"/>
      <c r="F39" s="98">
        <f>+'LA JUNTA'!D4</f>
        <v>0.31944444444444448</v>
      </c>
      <c r="G39" s="99"/>
      <c r="H39" s="117"/>
      <c r="I39" s="118">
        <f>+'LA JUNTA'!D5</f>
        <v>0.32291666666666669</v>
      </c>
      <c r="J39" s="119"/>
      <c r="K39" s="97"/>
      <c r="L39" s="98">
        <f>+'LA JUNTA'!D6</f>
        <v>0.3298611111111111</v>
      </c>
      <c r="M39" s="99"/>
      <c r="N39" s="97"/>
      <c r="O39" s="98">
        <f>+'LA JUNTA'!D7</f>
        <v>0.31597222222222221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0.32291666666666669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0.66319444444444442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0.66319444444444442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0.66111111111111087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0.28263888888888888</v>
      </c>
      <c r="D41" s="130"/>
      <c r="E41" s="110"/>
      <c r="F41" s="139">
        <f>+'LA JUNTA'!G17</f>
        <v>0.2986111111111111</v>
      </c>
      <c r="G41" s="99"/>
      <c r="H41" s="127"/>
      <c r="I41" s="128">
        <f>+'LA JUNTA'!G18</f>
        <v>0.28611111111111093</v>
      </c>
      <c r="J41" s="119"/>
      <c r="K41" s="110"/>
      <c r="L41" s="139">
        <f>+'LA JUNTA'!G19</f>
        <v>0.27430555555555536</v>
      </c>
      <c r="M41" s="99"/>
      <c r="N41" s="110"/>
      <c r="O41" s="139">
        <f>+'LA JUNTA'!G20</f>
        <v>0.28472222222222221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0.28527777777777769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98" t="s">
        <v>110</v>
      </c>
      <c r="X42" s="182"/>
      <c r="Y42" s="199"/>
    </row>
    <row r="43" spans="1:25" x14ac:dyDescent="0.3">
      <c r="A43" s="96" t="s">
        <v>111</v>
      </c>
      <c r="B43" s="117"/>
      <c r="C43" s="174">
        <f>+AC!D3</f>
        <v>0.3125</v>
      </c>
      <c r="D43" s="174"/>
      <c r="E43" s="97"/>
      <c r="F43" s="143">
        <f>+AC!D4</f>
        <v>0.3125</v>
      </c>
      <c r="G43" s="143"/>
      <c r="H43" s="117"/>
      <c r="I43" s="174">
        <f>+AC!D5</f>
        <v>0.3125</v>
      </c>
      <c r="J43" s="174"/>
      <c r="K43" s="97"/>
      <c r="L43" s="143">
        <f>+AC!D6</f>
        <v>0.3125</v>
      </c>
      <c r="M43" s="143"/>
      <c r="N43" s="97"/>
      <c r="O43" s="143">
        <f>+AC!D7</f>
        <v>0.3125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0.65972222222222221</v>
      </c>
      <c r="D44" s="118"/>
      <c r="E44" s="97"/>
      <c r="F44" s="98">
        <f>+AC!J4</f>
        <v>0.65625</v>
      </c>
      <c r="G44" s="98"/>
      <c r="H44" s="117"/>
      <c r="I44" s="118">
        <f>+AC!J5</f>
        <v>0.65625</v>
      </c>
      <c r="J44" s="118"/>
      <c r="K44" s="97"/>
      <c r="L44" s="98">
        <f>+AC!J6</f>
        <v>0.65625</v>
      </c>
      <c r="M44" s="98"/>
      <c r="N44" s="97"/>
      <c r="O44" s="98">
        <f>+AC!J7</f>
        <v>0.65625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0.65694444444444444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0.26527777777777778</v>
      </c>
      <c r="D45" s="128"/>
      <c r="E45" s="110"/>
      <c r="F45" s="139">
        <f>+AC!G17</f>
        <v>0.25694444444444436</v>
      </c>
      <c r="G45" s="139"/>
      <c r="H45" s="127"/>
      <c r="I45" s="128">
        <f>+AC!G18</f>
        <v>0.25902777777777775</v>
      </c>
      <c r="J45" s="128"/>
      <c r="K45" s="110"/>
      <c r="L45" s="139">
        <f>+AC!G19</f>
        <v>0.26944444444444443</v>
      </c>
      <c r="M45" s="139"/>
      <c r="N45" s="110"/>
      <c r="O45" s="139">
        <f>+AC!G20</f>
        <v>0.27708333333333318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0.26555555555555549</v>
      </c>
      <c r="Y45" s="115" t="str">
        <f t="shared" si="10"/>
        <v/>
      </c>
    </row>
    <row r="46" spans="1:25" ht="16.2" thickBot="1" x14ac:dyDescent="0.35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98" t="s">
        <v>110</v>
      </c>
      <c r="X46" s="182"/>
      <c r="Y46" s="199"/>
    </row>
    <row r="47" spans="1:25" x14ac:dyDescent="0.3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3">
      <c r="A48" s="96" t="s">
        <v>112</v>
      </c>
      <c r="B48" s="117"/>
      <c r="C48" s="118"/>
      <c r="D48" s="118">
        <f>+Colec!J3</f>
        <v>0.98263888888888884</v>
      </c>
      <c r="E48" s="117"/>
      <c r="F48" s="118"/>
      <c r="G48" s="118">
        <f>+Colec!J4</f>
        <v>0.97916666666666663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0.98958333333333337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0.98472222222222217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0.23819444444444438</v>
      </c>
      <c r="E49" s="127"/>
      <c r="F49" s="118"/>
      <c r="G49" s="118">
        <f>+Colec!G17</f>
        <v>0.25138888888888877</v>
      </c>
      <c r="H49" s="127"/>
      <c r="I49" s="118"/>
      <c r="J49" s="118">
        <f>+Colec!G18</f>
        <v>0.26250000000000029</v>
      </c>
      <c r="K49" s="127"/>
      <c r="L49" s="118"/>
      <c r="M49" s="118">
        <f>+Colec!G19</f>
        <v>0.26597222222222217</v>
      </c>
      <c r="N49" s="127"/>
      <c r="O49" s="118"/>
      <c r="P49" s="118">
        <f>+Colec!G20</f>
        <v>0.25694444444444453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0.25500000000000006</v>
      </c>
    </row>
    <row r="50" spans="1:25" ht="16.2" thickBot="1" x14ac:dyDescent="0.35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98" t="s">
        <v>110</v>
      </c>
      <c r="X50" s="182"/>
      <c r="Y50" s="199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0.3125</v>
      </c>
      <c r="J51" s="174"/>
      <c r="K51" s="97"/>
      <c r="L51" s="143">
        <f>+'P M'!D6</f>
        <v>0.30902777777777779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0.31163194444444442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0.65277777777777779</v>
      </c>
      <c r="J52" s="118"/>
      <c r="K52" s="97"/>
      <c r="L52" s="98">
        <f>+'P M'!J6</f>
        <v>0.64930555555555558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0.65190972222222232</v>
      </c>
      <c r="Y52" s="107">
        <f t="shared" si="12"/>
        <v>0.65277777777777779</v>
      </c>
    </row>
    <row r="53" spans="1:25" ht="16.2" thickBot="1" x14ac:dyDescent="0.35">
      <c r="A53" s="109" t="s">
        <v>113</v>
      </c>
      <c r="B53" s="127"/>
      <c r="C53" s="119">
        <f>+'P M'!G16</f>
        <v>0.24861111111111117</v>
      </c>
      <c r="D53" s="119"/>
      <c r="E53" s="110"/>
      <c r="F53" s="139">
        <f>+'P M'!G17</f>
        <v>0.26180555555555557</v>
      </c>
      <c r="G53" s="139"/>
      <c r="H53" s="127"/>
      <c r="I53" s="128">
        <f>+'P M'!G18</f>
        <v>0.24999999999999994</v>
      </c>
      <c r="J53" s="128"/>
      <c r="K53" s="110"/>
      <c r="L53" s="139">
        <f>+'P M'!G19</f>
        <v>0.25138888888888894</v>
      </c>
      <c r="M53" s="139"/>
      <c r="N53" s="110"/>
      <c r="O53" s="139"/>
      <c r="P53" s="139">
        <f>+'P M'!G20</f>
        <v>0.25694444444444448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0.25295138888888891</v>
      </c>
      <c r="Y53" s="115">
        <f t="shared" si="12"/>
        <v>0.25694444444444448</v>
      </c>
    </row>
    <row r="54" spans="1:25" ht="16.2" thickBot="1" x14ac:dyDescent="0.35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98" t="s">
        <v>110</v>
      </c>
      <c r="X54" s="182"/>
      <c r="Y54" s="199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0.90277777777777779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0.6972222222222223</v>
      </c>
    </row>
    <row r="56" spans="1:25" x14ac:dyDescent="0.3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0.97916666666666663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0.97916666666666663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0.23611111111111116</v>
      </c>
      <c r="E57" s="127"/>
      <c r="F57" s="118"/>
      <c r="G57" s="118">
        <f>+'Vent '!G17</f>
        <v>0.2465277777777779</v>
      </c>
      <c r="H57" s="127"/>
      <c r="I57" s="118"/>
      <c r="J57" s="118">
        <f>+'Vent '!G18</f>
        <v>0.24652777777777768</v>
      </c>
      <c r="K57" s="127"/>
      <c r="L57" s="118"/>
      <c r="M57" s="118">
        <f>+'Vent '!G19</f>
        <v>0.25</v>
      </c>
      <c r="N57" s="127"/>
      <c r="O57" s="118"/>
      <c r="P57" s="118">
        <f>+'Vent '!G20</f>
        <v>0.25694444444444442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0.24722222222222223</v>
      </c>
    </row>
    <row r="58" spans="1:25" ht="16.2" thickBot="1" x14ac:dyDescent="0.35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98" t="s">
        <v>110</v>
      </c>
      <c r="X58" s="182"/>
      <c r="Y58" s="183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0.33472222222222225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0.4513888888888889</v>
      </c>
      <c r="D61" s="130"/>
      <c r="E61" s="110"/>
      <c r="F61" s="139">
        <f>+ACCU!G17</f>
        <v>0.44791666666666669</v>
      </c>
      <c r="G61" s="112"/>
      <c r="H61" s="127"/>
      <c r="I61" s="128">
        <f>+ACCU!G18</f>
        <v>0.44583333333333308</v>
      </c>
      <c r="J61" s="130"/>
      <c r="K61" s="110"/>
      <c r="L61" s="139">
        <f>+ACCU!G19</f>
        <v>0.43541666666666634</v>
      </c>
      <c r="M61" s="112"/>
      <c r="N61" s="110"/>
      <c r="O61" s="139">
        <f>+ACCU!G20</f>
        <v>0.44097222222222182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0.4443055555555554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abSelected="1" topLeftCell="A4" workbookViewId="0">
      <selection activeCell="Y19" sqref="Y19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6">
        <f>'TTE 6 '!C3</f>
        <v>44858</v>
      </c>
      <c r="D7" s="207"/>
      <c r="E7" s="207"/>
      <c r="F7" s="206">
        <f>+'TTE 6 '!C4</f>
        <v>44859</v>
      </c>
      <c r="G7" s="207"/>
      <c r="H7" s="207"/>
      <c r="I7" s="206">
        <f>'TTE 6 '!C5</f>
        <v>44860</v>
      </c>
      <c r="J7" s="207"/>
      <c r="K7" s="207"/>
      <c r="L7" s="206">
        <f>'TTE 6 '!C6</f>
        <v>44861</v>
      </c>
      <c r="M7" s="207"/>
      <c r="N7" s="207"/>
      <c r="O7" s="206">
        <f>+'TTE 6 '!C7</f>
        <v>44862</v>
      </c>
      <c r="P7" s="207"/>
      <c r="Q7" s="207"/>
      <c r="R7" s="206">
        <f>'TTE 6 '!C8</f>
        <v>44863</v>
      </c>
      <c r="S7" s="207"/>
      <c r="T7" s="207"/>
      <c r="U7" s="206">
        <f>'TTE 6 '!C9</f>
        <v>44864</v>
      </c>
      <c r="V7" s="207"/>
      <c r="W7" s="207"/>
      <c r="X7" s="208" t="s">
        <v>107</v>
      </c>
      <c r="Y7" s="209"/>
      <c r="Z7" s="210"/>
      <c r="AA7" s="211" t="s">
        <v>122</v>
      </c>
      <c r="AC7" s="200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2"/>
      <c r="AC8" s="201"/>
    </row>
    <row r="9" spans="2:29" ht="16.2" thickBot="1" x14ac:dyDescent="0.35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2"/>
    </row>
    <row r="10" spans="2:29" ht="28.2" thickBot="1" x14ac:dyDescent="0.35">
      <c r="B10" s="159" t="s">
        <v>126</v>
      </c>
      <c r="C10" s="167"/>
      <c r="D10" s="168">
        <v>1</v>
      </c>
      <c r="E10" s="169">
        <v>0</v>
      </c>
      <c r="F10" s="167"/>
      <c r="G10" s="168">
        <v>1</v>
      </c>
      <c r="H10" s="169">
        <v>0</v>
      </c>
      <c r="I10" s="167"/>
      <c r="J10" s="168">
        <v>2</v>
      </c>
      <c r="K10" s="169">
        <v>0</v>
      </c>
      <c r="L10" s="167"/>
      <c r="M10" s="168">
        <v>4</v>
      </c>
      <c r="N10" s="169">
        <v>0</v>
      </c>
      <c r="O10" s="167"/>
      <c r="P10" s="168">
        <v>2</v>
      </c>
      <c r="Q10" s="169">
        <v>0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10</v>
      </c>
      <c r="Z10" s="171">
        <f>E10+H10+K10+N10+Q10+T10+W10</f>
        <v>0</v>
      </c>
      <c r="AA10" s="173">
        <f>X10+Y10+Z10</f>
        <v>10</v>
      </c>
      <c r="AC10" s="175">
        <v>15</v>
      </c>
    </row>
    <row r="11" spans="2:29" ht="28.2" thickBot="1" x14ac:dyDescent="0.35">
      <c r="B11" s="160" t="s">
        <v>127</v>
      </c>
      <c r="C11" s="164"/>
      <c r="D11" s="165">
        <v>2</v>
      </c>
      <c r="E11" s="166">
        <v>0</v>
      </c>
      <c r="F11" s="164"/>
      <c r="G11" s="165">
        <v>3</v>
      </c>
      <c r="H11" s="166">
        <v>0</v>
      </c>
      <c r="I11" s="164"/>
      <c r="J11" s="165">
        <v>4</v>
      </c>
      <c r="K11" s="166">
        <v>0</v>
      </c>
      <c r="L11" s="164"/>
      <c r="M11" s="165">
        <v>4</v>
      </c>
      <c r="N11" s="166">
        <v>0</v>
      </c>
      <c r="O11" s="164"/>
      <c r="P11" s="165">
        <v>4</v>
      </c>
      <c r="Q11" s="166">
        <v>0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17</v>
      </c>
      <c r="Z11" s="155">
        <f>E11+H11+K11+N11+Q11+T11+W11</f>
        <v>0</v>
      </c>
      <c r="AA11" s="172">
        <f>X11+Y11+Z11</f>
        <v>17</v>
      </c>
      <c r="AC11" s="176">
        <v>15</v>
      </c>
    </row>
  </sheetData>
  <mergeCells count="18"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I6" sqref="I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44858</v>
      </c>
      <c r="D3" s="37">
        <v>0.34375</v>
      </c>
      <c r="E3" s="37">
        <v>0.3611111111111111</v>
      </c>
      <c r="F3" s="37">
        <v>0.38055555555555554</v>
      </c>
      <c r="G3" s="46">
        <v>0.60763888888888895</v>
      </c>
      <c r="H3" s="46">
        <v>0.61458333333333337</v>
      </c>
      <c r="I3" s="46">
        <v>0.63888888888888895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44858</v>
      </c>
      <c r="P3" s="7">
        <f>D3</f>
        <v>0.34375</v>
      </c>
      <c r="Q3" s="7">
        <f>E3-D3</f>
        <v>1.7361111111111105E-2</v>
      </c>
      <c r="R3" s="7">
        <f>F3-E3</f>
        <v>1.9444444444444431E-2</v>
      </c>
      <c r="S3" s="7">
        <f>G3-F3</f>
        <v>0.22708333333333341</v>
      </c>
      <c r="T3" s="7">
        <f>+Tabla513[[#This Row],[ALMUERZO]]-Tabla513[[#This Row],[TERMINO ACT. AM]]</f>
        <v>6.9444444444444198E-3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2.0833333333333259E-2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44859</v>
      </c>
      <c r="D4" s="37">
        <v>0.34027777777777773</v>
      </c>
      <c r="E4" s="37">
        <v>0.36458333333333331</v>
      </c>
      <c r="F4" s="37">
        <v>0.37986111111111115</v>
      </c>
      <c r="G4" s="46">
        <v>0.60069444444444442</v>
      </c>
      <c r="H4" s="46">
        <v>0.60416666666666663</v>
      </c>
      <c r="I4" s="46">
        <v>0.62847222222222221</v>
      </c>
      <c r="J4" s="46">
        <v>0.65972222222222221</v>
      </c>
      <c r="K4" s="47" t="s">
        <v>90</v>
      </c>
      <c r="M4" s="5"/>
      <c r="N4" s="5" t="s">
        <v>16</v>
      </c>
      <c r="O4" s="4">
        <f>Tabla513[[#This Row],[FECHA]]</f>
        <v>44859</v>
      </c>
      <c r="P4" s="7">
        <f>D4</f>
        <v>0.34027777777777773</v>
      </c>
      <c r="Q4" s="7">
        <f t="shared" ref="Q4:S7" si="0">E4-D4</f>
        <v>2.430555555555558E-2</v>
      </c>
      <c r="R4" s="7">
        <f t="shared" si="0"/>
        <v>1.5277777777777835E-2</v>
      </c>
      <c r="S4" s="7">
        <f t="shared" si="0"/>
        <v>0.22083333333333327</v>
      </c>
      <c r="T4" s="7">
        <f>+Tabla513[[#This Row],[ALMUERZO]]-Tabla513[[#This Row],[TERMINO ACT. AM]]</f>
        <v>3.4722222222222099E-3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44860</v>
      </c>
      <c r="D5" s="37">
        <v>0.34166666666666662</v>
      </c>
      <c r="E5" s="37">
        <v>0.36458333333333331</v>
      </c>
      <c r="F5" s="37">
        <v>0.38472222222222219</v>
      </c>
      <c r="G5" s="46">
        <v>0.61111111111111105</v>
      </c>
      <c r="H5" s="46">
        <v>0.61805555555555558</v>
      </c>
      <c r="I5" s="46">
        <v>0.64236111111111105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44860</v>
      </c>
      <c r="P5" s="7">
        <f>D5</f>
        <v>0.34166666666666662</v>
      </c>
      <c r="Q5" s="7">
        <f t="shared" si="0"/>
        <v>2.2916666666666696E-2</v>
      </c>
      <c r="R5" s="7">
        <f t="shared" si="0"/>
        <v>2.0138888888888873E-2</v>
      </c>
      <c r="S5" s="7">
        <f t="shared" si="0"/>
        <v>0.22638888888888886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44861</v>
      </c>
      <c r="D6" s="37">
        <v>0.34375</v>
      </c>
      <c r="E6" s="37">
        <v>0.3611111111111111</v>
      </c>
      <c r="F6" s="37">
        <v>0.38611111111111113</v>
      </c>
      <c r="G6" s="46">
        <v>0.61111111111111105</v>
      </c>
      <c r="H6" s="37">
        <v>0.61805555555555558</v>
      </c>
      <c r="I6" s="46">
        <v>0.64583333333333337</v>
      </c>
      <c r="J6" s="46">
        <v>0.65972222222222221</v>
      </c>
      <c r="K6" s="47" t="s">
        <v>90</v>
      </c>
      <c r="M6" s="5"/>
      <c r="N6" s="5" t="s">
        <v>17</v>
      </c>
      <c r="O6" s="4">
        <f>Tabla513[[#This Row],[FECHA]]</f>
        <v>44861</v>
      </c>
      <c r="P6" s="7">
        <f>D6</f>
        <v>0.34375</v>
      </c>
      <c r="Q6" s="7">
        <f t="shared" si="0"/>
        <v>1.7361111111111105E-2</v>
      </c>
      <c r="R6" s="7">
        <f t="shared" si="0"/>
        <v>2.5000000000000022E-2</v>
      </c>
      <c r="S6" s="7">
        <f t="shared" si="0"/>
        <v>0.22499999999999992</v>
      </c>
      <c r="T6" s="7">
        <f>+Tabla513[[#This Row],[ALMUERZO]]-Tabla513[[#This Row],[TERMINO ACT. AM]]</f>
        <v>6.9444444444445308E-3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44862</v>
      </c>
      <c r="D7" s="37">
        <v>0.35069444444444442</v>
      </c>
      <c r="E7" s="37">
        <v>0.36805555555555558</v>
      </c>
      <c r="F7" s="37">
        <v>0.3833333333333333</v>
      </c>
      <c r="G7" s="46">
        <v>0.60416666666666663</v>
      </c>
      <c r="H7" s="46">
        <v>0.61111111111111105</v>
      </c>
      <c r="I7" s="46">
        <v>0.6333333333333333</v>
      </c>
      <c r="J7" s="46">
        <v>0.65972222222222221</v>
      </c>
      <c r="K7" s="47" t="s">
        <v>90</v>
      </c>
      <c r="M7" s="5"/>
      <c r="N7" s="5" t="s">
        <v>18</v>
      </c>
      <c r="O7" s="4">
        <f>Tabla513[[#This Row],[FECHA]]</f>
        <v>44862</v>
      </c>
      <c r="P7" s="7">
        <f>D7</f>
        <v>0.35069444444444442</v>
      </c>
      <c r="Q7" s="7">
        <f t="shared" si="0"/>
        <v>1.736111111111116E-2</v>
      </c>
      <c r="R7" s="7">
        <f t="shared" si="0"/>
        <v>1.5277777777777724E-2</v>
      </c>
      <c r="S7" s="7">
        <f t="shared" si="0"/>
        <v>0.22083333333333333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2.2222222222222254E-2</v>
      </c>
      <c r="V7" s="7">
        <f>+Tabla513[[#This Row],[TERMINO ACTIVIDADES PM]]-Tabla513[[#This Row],[INICIO ACTIVIDADES PM]]</f>
        <v>2.6388888888888906E-2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0.25208333333333327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0.24375000000000002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0.23888888888888876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0.24722222222222223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0.24597222222222218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0.9838888888888887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G6" sqref="G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44858</v>
      </c>
      <c r="D3" s="37">
        <v>0.67361111111111116</v>
      </c>
      <c r="E3" s="37">
        <v>0.69305555555555554</v>
      </c>
      <c r="F3" s="37">
        <v>0.71319444444444446</v>
      </c>
      <c r="G3" s="37">
        <v>0.94861111111111107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44858</v>
      </c>
      <c r="P3" s="7">
        <f>D3</f>
        <v>0.67361111111111116</v>
      </c>
      <c r="Q3" s="7">
        <f>E3-D3</f>
        <v>1.9444444444444375E-2</v>
      </c>
      <c r="R3" s="7">
        <f>F3-E3</f>
        <v>2.0138888888888928E-2</v>
      </c>
      <c r="S3" s="7">
        <f>G3-F3</f>
        <v>0.23541666666666661</v>
      </c>
      <c r="T3" s="7">
        <f>+Tabla51334[[#This Row],[ALMUERZO]]-Tabla51334[[#This Row],[TERMINO ACT. AM]]</f>
        <v>6.2500000000000888E-3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44859</v>
      </c>
      <c r="D4" s="37">
        <v>0.67361111111111116</v>
      </c>
      <c r="E4" s="37">
        <v>0.69791666666666663</v>
      </c>
      <c r="F4" s="37">
        <v>0.72569444444444453</v>
      </c>
      <c r="G4" s="37">
        <v>0.94513888888888886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44859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2.7777777777777901E-2</v>
      </c>
      <c r="S4" s="7">
        <f t="shared" si="0"/>
        <v>0.21944444444444433</v>
      </c>
      <c r="T4" s="7">
        <f>+Tabla51334[[#This Row],[ALMUERZO]]-Tabla51334[[#This Row],[TERMINO ACT. AM]]</f>
        <v>9.7222222222222987E-3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44860</v>
      </c>
      <c r="D5" s="37">
        <v>0.67361111111111116</v>
      </c>
      <c r="E5" s="37">
        <v>0.69791666666666663</v>
      </c>
      <c r="F5" s="37">
        <v>0.72083333333333333</v>
      </c>
      <c r="G5" s="37">
        <v>0.94652777777777775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44860</v>
      </c>
      <c r="P5" s="7">
        <f>D5</f>
        <v>0.67361111111111116</v>
      </c>
      <c r="Q5" s="7">
        <f t="shared" si="0"/>
        <v>2.4305555555555469E-2</v>
      </c>
      <c r="R5" s="7">
        <f t="shared" si="0"/>
        <v>2.2916666666666696E-2</v>
      </c>
      <c r="S5" s="7">
        <f t="shared" si="0"/>
        <v>0.22569444444444442</v>
      </c>
      <c r="T5" s="7">
        <f>+Tabla51334[[#This Row],[ALMUERZO]]-Tabla51334[[#This Row],[TERMINO ACT. AM]]</f>
        <v>8.3333333333334147E-3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44861</v>
      </c>
      <c r="D6" s="37">
        <v>0.67708333333333337</v>
      </c>
      <c r="E6" s="37">
        <v>0.69652777777777775</v>
      </c>
      <c r="F6" s="37">
        <v>0.71180555555555547</v>
      </c>
      <c r="G6" s="37">
        <v>0.94305555555555554</v>
      </c>
      <c r="H6" s="37">
        <v>0.95138888888888884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44861</v>
      </c>
      <c r="P6" s="7">
        <f>D6</f>
        <v>0.67708333333333337</v>
      </c>
      <c r="Q6" s="7">
        <f t="shared" si="0"/>
        <v>1.9444444444444375E-2</v>
      </c>
      <c r="R6" s="7">
        <f t="shared" si="0"/>
        <v>1.5277777777777724E-2</v>
      </c>
      <c r="S6" s="7">
        <f t="shared" si="0"/>
        <v>0.23125000000000007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44862</v>
      </c>
      <c r="D7" s="37">
        <v>0.67708333333333337</v>
      </c>
      <c r="E7" s="37">
        <v>0.69791666666666663</v>
      </c>
      <c r="F7" s="37">
        <v>0.71180555555555547</v>
      </c>
      <c r="G7" s="46">
        <v>0.9375</v>
      </c>
      <c r="H7" s="37">
        <v>0.94444444444444453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44862</v>
      </c>
      <c r="P7" s="7">
        <f>D7</f>
        <v>0.67708333333333337</v>
      </c>
      <c r="Q7" s="7">
        <f t="shared" si="0"/>
        <v>2.0833333333333259E-2</v>
      </c>
      <c r="R7" s="7">
        <f t="shared" si="0"/>
        <v>1.388888888888884E-2</v>
      </c>
      <c r="S7" s="7">
        <f t="shared" si="0"/>
        <v>0.22569444444444453</v>
      </c>
      <c r="T7" s="7">
        <f>+Tabla51334[[#This Row],[ALMUERZO]]-Tabla51334[[#This Row],[TERMINO ACT. AM]]</f>
        <v>6.9444444444445308E-3</v>
      </c>
      <c r="U7" s="7">
        <f>+Tabla51334[[#This Row],[INICIO ACTIVIDADES PM]]-Tabla51334[[#This Row],[ALMUERZO]]</f>
        <v>2.4305555555555469E-2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0.25277777777777755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0.23680555555555527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0.24305555555555536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0.25208333333333333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0.24694444444444433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0.98777777777777731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F8" sqref="F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44858</v>
      </c>
      <c r="D3" s="37">
        <v>0.34027777777777773</v>
      </c>
      <c r="E3" s="37">
        <v>0.375</v>
      </c>
      <c r="F3" s="37">
        <v>0.3840277777777778</v>
      </c>
      <c r="G3" s="37">
        <v>0.61041666666666672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44858</v>
      </c>
      <c r="P3" s="7">
        <f>D3</f>
        <v>0.34027777777777773</v>
      </c>
      <c r="Q3" s="7">
        <f>E3-D3</f>
        <v>3.4722222222222265E-2</v>
      </c>
      <c r="R3" s="7">
        <f>F3-E3</f>
        <v>9.0277777777778012E-3</v>
      </c>
      <c r="S3" s="7">
        <f>G3-F3</f>
        <v>0.22638888888888892</v>
      </c>
      <c r="T3" s="7">
        <f>+Tabla536[[#This Row],[ALMUERZO]]-Tabla536[[#This Row],[TERMINO ACT. AM]]</f>
        <v>4.1666666666666519E-3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44859</v>
      </c>
      <c r="D4" s="37">
        <v>0.33680555555555558</v>
      </c>
      <c r="E4" s="37">
        <v>0.36944444444444446</v>
      </c>
      <c r="F4" s="37">
        <v>0.38194444444444442</v>
      </c>
      <c r="G4" s="37">
        <v>0.60833333333333328</v>
      </c>
      <c r="H4" s="37">
        <v>0.61458333333333337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44859</v>
      </c>
      <c r="P4" s="7">
        <f>D4</f>
        <v>0.33680555555555558</v>
      </c>
      <c r="Q4" s="7">
        <f t="shared" ref="Q4:S7" si="0">E4-D4</f>
        <v>3.2638888888888884E-2</v>
      </c>
      <c r="R4" s="7">
        <f t="shared" si="0"/>
        <v>1.2499999999999956E-2</v>
      </c>
      <c r="S4" s="7">
        <f t="shared" si="0"/>
        <v>0.22638888888888886</v>
      </c>
      <c r="T4" s="7">
        <f>+Tabla536[[#This Row],[ALMUERZO]]-Tabla536[[#This Row],[TERMINO ACT. AM]]</f>
        <v>6.2500000000000888E-3</v>
      </c>
      <c r="U4" s="7">
        <f>+Tabla536[[#This Row],[INICIO ACTIVIDADES PM]]-Tabla536[[#This Row],[ALMUERZO]]</f>
        <v>2.5694444444444464E-2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44860</v>
      </c>
      <c r="D5" s="37">
        <v>0.33680555555555558</v>
      </c>
      <c r="E5" s="37">
        <v>0.37152777777777773</v>
      </c>
      <c r="F5" s="37">
        <v>0.38541666666666669</v>
      </c>
      <c r="G5" s="37">
        <v>0.60763888888888895</v>
      </c>
      <c r="H5" s="37">
        <v>0.61458333333333337</v>
      </c>
      <c r="I5" s="37">
        <v>0.63888888888888895</v>
      </c>
      <c r="J5" s="46">
        <v>0.65972222222222221</v>
      </c>
      <c r="K5" s="47"/>
      <c r="M5" s="5"/>
      <c r="N5" s="5" t="s">
        <v>16</v>
      </c>
      <c r="O5" s="4">
        <f>Tabla536[[#This Row],[FECHA]]</f>
        <v>44860</v>
      </c>
      <c r="P5" s="7">
        <f>D5</f>
        <v>0.33680555555555558</v>
      </c>
      <c r="Q5" s="7">
        <f t="shared" si="0"/>
        <v>3.4722222222222154E-2</v>
      </c>
      <c r="R5" s="7">
        <f t="shared" si="0"/>
        <v>1.3888888888888951E-2</v>
      </c>
      <c r="S5" s="7">
        <f t="shared" si="0"/>
        <v>0.22222222222222227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2.430555555555558E-2</v>
      </c>
      <c r="V5" s="7">
        <f>+Tabla536[[#This Row],[TERMINO ACTIVIDADES PM]]-Tabla536[[#This Row],[INICIO ACTIVIDADES PM]]</f>
        <v>2.0833333333333259E-2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44861</v>
      </c>
      <c r="D6" s="37">
        <v>0.34375</v>
      </c>
      <c r="E6" s="37">
        <v>0.36805555555555558</v>
      </c>
      <c r="F6" s="37">
        <v>0.37847222222222227</v>
      </c>
      <c r="G6" s="37">
        <v>0.60486111111111118</v>
      </c>
      <c r="H6" s="37">
        <v>0.61111111111111105</v>
      </c>
      <c r="I6" s="37">
        <v>0.63194444444444442</v>
      </c>
      <c r="J6" s="46">
        <v>0.65972222222222221</v>
      </c>
      <c r="K6" s="47"/>
      <c r="M6" s="5"/>
      <c r="N6" s="5" t="s">
        <v>17</v>
      </c>
      <c r="O6" s="4">
        <f>Tabla536[[#This Row],[FECHA]]</f>
        <v>44861</v>
      </c>
      <c r="P6" s="7">
        <f>D6</f>
        <v>0.34375</v>
      </c>
      <c r="Q6" s="7">
        <f t="shared" si="0"/>
        <v>2.430555555555558E-2</v>
      </c>
      <c r="R6" s="7">
        <f t="shared" si="0"/>
        <v>1.0416666666666685E-2</v>
      </c>
      <c r="S6" s="7">
        <f t="shared" si="0"/>
        <v>0.22638888888888892</v>
      </c>
      <c r="T6" s="7">
        <f>+Tabla536[[#This Row],[ALMUERZO]]-Tabla536[[#This Row],[TERMINO ACT. AM]]</f>
        <v>6.2499999999998668E-3</v>
      </c>
      <c r="U6" s="7">
        <f>+Tabla536[[#This Row],[INICIO ACTIVIDADES PM]]-Tabla536[[#This Row],[ALMUERZO]]</f>
        <v>2.083333333333337E-2</v>
      </c>
      <c r="V6" s="7">
        <f>+Tabla536[[#This Row],[TERMINO ACTIVIDADES PM]]-Tabla536[[#This Row],[INICIO ACTIVIDADES PM]]</f>
        <v>2.777777777777779E-2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44862</v>
      </c>
      <c r="D7" s="37">
        <v>0.34375</v>
      </c>
      <c r="E7" s="37">
        <v>0.36458333333333331</v>
      </c>
      <c r="F7" s="37">
        <v>0.37708333333333338</v>
      </c>
      <c r="G7" s="37">
        <v>0.60833333333333328</v>
      </c>
      <c r="H7" s="37">
        <v>0.61458333333333337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44862</v>
      </c>
      <c r="P7" s="7">
        <f>D7</f>
        <v>0.34375</v>
      </c>
      <c r="Q7" s="7">
        <f t="shared" si="0"/>
        <v>2.0833333333333315E-2</v>
      </c>
      <c r="R7" s="7">
        <f t="shared" si="0"/>
        <v>1.2500000000000067E-2</v>
      </c>
      <c r="S7" s="7">
        <f t="shared" si="0"/>
        <v>0.2312499999999999</v>
      </c>
      <c r="T7" s="7">
        <f>+Tabla536[[#This Row],[ALMUERZO]]-Tabla536[[#This Row],[TERMINO ACT. AM]]</f>
        <v>6.2500000000000888E-3</v>
      </c>
      <c r="U7" s="7">
        <f>+Tabla536[[#This Row],[INICIO ACTIVIDADES PM]]-Tabla536[[#This Row],[ALMUERZO]]</f>
        <v>2.0833333333333259E-2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0.24722222222222218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0.24583333333333324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0.24305555555555552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0.25416666666666671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0.25555555555555548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0.24916666666666662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0.99666666666666648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103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F7" sqref="F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44858</v>
      </c>
      <c r="D3" s="37">
        <v>0.67361111111111116</v>
      </c>
      <c r="E3" s="37">
        <v>0.69444444444444453</v>
      </c>
      <c r="F3" s="37">
        <v>0.71736111111111101</v>
      </c>
      <c r="G3" s="37">
        <v>0.93055555555555547</v>
      </c>
      <c r="H3" s="37">
        <v>0.9375</v>
      </c>
      <c r="I3" s="37">
        <v>0.96180555555555547</v>
      </c>
      <c r="J3" s="46">
        <v>0.98958333333333337</v>
      </c>
      <c r="K3" s="47"/>
      <c r="L3" s="53"/>
      <c r="M3" s="53"/>
      <c r="N3" s="57" t="s">
        <v>15</v>
      </c>
      <c r="O3" s="4">
        <f>Tabla537[[#This Row],[FECHA]]</f>
        <v>44858</v>
      </c>
      <c r="P3" s="7">
        <f>D3</f>
        <v>0.67361111111111116</v>
      </c>
      <c r="Q3" s="7">
        <f>E3-D3</f>
        <v>2.083333333333337E-2</v>
      </c>
      <c r="R3" s="7">
        <f>F3-E3</f>
        <v>2.2916666666666474E-2</v>
      </c>
      <c r="S3" s="7">
        <f>G3-F3</f>
        <v>0.21319444444444446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2.7777777777777901E-2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44859</v>
      </c>
      <c r="D4" s="37">
        <v>0.67361111111111116</v>
      </c>
      <c r="E4" s="37">
        <v>0.69444444444444453</v>
      </c>
      <c r="F4" s="37">
        <v>0.71319444444444446</v>
      </c>
      <c r="G4" s="37">
        <v>0.94444444444444453</v>
      </c>
      <c r="H4" s="37">
        <v>0.95486111111111116</v>
      </c>
      <c r="I4" s="37">
        <v>0.97916666666666663</v>
      </c>
      <c r="J4" s="46">
        <v>0.99305555555555547</v>
      </c>
      <c r="K4" s="47"/>
      <c r="M4" s="5"/>
      <c r="N4" s="5" t="s">
        <v>16</v>
      </c>
      <c r="O4" s="4">
        <f>Tabla537[[#This Row],[FECHA]]</f>
        <v>44859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1.8749999999999933E-2</v>
      </c>
      <c r="S4" s="7">
        <f t="shared" si="0"/>
        <v>0.23125000000000007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2.4305555555555469E-2</v>
      </c>
      <c r="V4" s="7">
        <f>+Tabla537[[#This Row],[TERMINO ACTIVIDADES PM]]-Tabla537[[#This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44860</v>
      </c>
      <c r="D5" s="37">
        <v>0.67361111111111116</v>
      </c>
      <c r="E5" s="37">
        <v>0.69097222222222221</v>
      </c>
      <c r="F5" s="37">
        <v>0.71875</v>
      </c>
      <c r="G5" s="37">
        <v>0.95347222222222217</v>
      </c>
      <c r="H5" s="37">
        <v>0.95624999999999993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44860</v>
      </c>
      <c r="P5" s="7">
        <f>D5</f>
        <v>0.67361111111111116</v>
      </c>
      <c r="Q5" s="7">
        <f t="shared" si="0"/>
        <v>1.7361111111111049E-2</v>
      </c>
      <c r="R5" s="7">
        <f t="shared" si="0"/>
        <v>2.777777777777779E-2</v>
      </c>
      <c r="S5" s="7">
        <f t="shared" si="0"/>
        <v>0.23472222222222217</v>
      </c>
      <c r="T5" s="7">
        <f>+Tabla537[[#This Row],[ALMUERZO]]-Tabla537[[#This Row],[TERMINO ACT. AM]]</f>
        <v>2.7777777777777679E-3</v>
      </c>
      <c r="U5" s="7">
        <f>+Tabla537[[#This Row],[INICIO ACTIVIDADES PM]]-Tabla537[[#This Row],[ALMUERZO]]</f>
        <v>2.2916666666666696E-2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44861</v>
      </c>
      <c r="D6" s="37">
        <v>0.67361111111111116</v>
      </c>
      <c r="E6" s="37">
        <v>0.69374999999999998</v>
      </c>
      <c r="F6" s="37">
        <v>0.71527777777777779</v>
      </c>
      <c r="G6" s="37">
        <v>0.92361111111111116</v>
      </c>
      <c r="H6" s="37">
        <v>0.93402777777777779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44861</v>
      </c>
      <c r="P6" s="7">
        <f>D6</f>
        <v>0.67361111111111116</v>
      </c>
      <c r="Q6" s="7">
        <f t="shared" si="0"/>
        <v>2.0138888888888817E-2</v>
      </c>
      <c r="R6" s="7">
        <f t="shared" si="0"/>
        <v>2.1527777777777812E-2</v>
      </c>
      <c r="S6" s="7">
        <f t="shared" si="0"/>
        <v>0.20833333333333337</v>
      </c>
      <c r="T6" s="7">
        <f>+Tabla537[[#This Row],[ALMUERZO]]-Tabla537[[#This Row],[TERMINO ACT. AM]]</f>
        <v>1.041666666666663E-2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44862</v>
      </c>
      <c r="D7" s="37">
        <v>0.67361111111111116</v>
      </c>
      <c r="E7" s="37">
        <v>0.69444444444444453</v>
      </c>
      <c r="F7" s="37">
        <v>0.71875</v>
      </c>
      <c r="G7" s="37">
        <v>0.94444444444444453</v>
      </c>
      <c r="H7" s="37">
        <v>0.95138888888888884</v>
      </c>
      <c r="I7" s="37">
        <v>0.97222222222222221</v>
      </c>
      <c r="J7" s="46">
        <v>0.99305555555555547</v>
      </c>
      <c r="K7" s="47"/>
      <c r="M7" s="5"/>
      <c r="N7" s="5" t="s">
        <v>18</v>
      </c>
      <c r="O7" s="4">
        <f>Tabla537[[#This Row],[FECHA]]</f>
        <v>44862</v>
      </c>
      <c r="P7" s="7">
        <f>D7</f>
        <v>0.67361111111111116</v>
      </c>
      <c r="Q7" s="7">
        <f t="shared" si="0"/>
        <v>2.083333333333337E-2</v>
      </c>
      <c r="R7" s="7">
        <f t="shared" si="0"/>
        <v>2.4305555555555469E-2</v>
      </c>
      <c r="S7" s="7">
        <f t="shared" si="0"/>
        <v>0.22569444444444453</v>
      </c>
      <c r="T7" s="7">
        <f>+Tabla537[[#This Row],[ALMUERZO]]-Tabla537[[#This Row],[TERMINO ACT. AM]]</f>
        <v>6.9444444444443088E-3</v>
      </c>
      <c r="U7" s="7">
        <f>+Tabla537[[#This Row],[INICIO ACTIVIDADES PM]]-Tabla537[[#This Row],[ALMUERZO]]</f>
        <v>2.083333333333337E-2</v>
      </c>
      <c r="V7" s="7">
        <f>+Tabla537[[#This Row],[TERMINO ACTIVIDADES PM]]-Tabla537[[#This Row],[INICIO ACTIVIDADES PM]]</f>
        <v>2.0833333333333259E-2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0.24097222222222237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0.24861111111111101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0.24486111111111111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0.97944444444444445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104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7" sqref="F7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44858</v>
      </c>
      <c r="D3" s="37">
        <v>0.33333333333333331</v>
      </c>
      <c r="E3" s="37">
        <v>0.34375</v>
      </c>
      <c r="F3" s="37">
        <v>0.34722222222222227</v>
      </c>
      <c r="G3" s="37">
        <v>0.53819444444444442</v>
      </c>
      <c r="H3" s="37">
        <v>0.54166666666666663</v>
      </c>
      <c r="I3" s="37">
        <v>0.57291666666666663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44858</v>
      </c>
      <c r="P3" s="7">
        <f>D3</f>
        <v>0.33333333333333331</v>
      </c>
      <c r="Q3" s="7">
        <f>E3-D3</f>
        <v>1.0416666666666685E-2</v>
      </c>
      <c r="R3" s="7">
        <f>F3-E3</f>
        <v>3.4722222222222654E-3</v>
      </c>
      <c r="S3" s="7">
        <f>G3-F3</f>
        <v>0.19097222222222215</v>
      </c>
      <c r="T3" s="7">
        <f>+Tabla538[[#This Row],[ALMUERZO]]-Tabla538[[#This Row],[TERMINO ACT. AM]]</f>
        <v>3.4722222222222099E-3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0.26041666666666674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44859</v>
      </c>
      <c r="D4" s="37">
        <v>0.33333333333333331</v>
      </c>
      <c r="E4" s="37">
        <v>0.34375</v>
      </c>
      <c r="F4" s="37">
        <v>0.34722222222222227</v>
      </c>
      <c r="G4" s="37">
        <v>0.52777777777777779</v>
      </c>
      <c r="H4" s="37">
        <v>0.53472222222222221</v>
      </c>
      <c r="I4" s="37">
        <v>0.56597222222222221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44859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3.4722222222222654E-3</v>
      </c>
      <c r="S4" s="7">
        <f t="shared" si="0"/>
        <v>0.18055555555555552</v>
      </c>
      <c r="T4" s="7">
        <f>+Tabla538[[#This Row],[ALMUERZO]]-Tabla538[[#This Row],[TERMINO ACT. AM]]</f>
        <v>6.9444444444444198E-3</v>
      </c>
      <c r="U4" s="7">
        <f>+Tabla538[[#This Row],[INICIO ACTIVIDADES PM]]-Tabla538[[#This Row],[ALMUERZO]]</f>
        <v>3.125E-2</v>
      </c>
      <c r="V4" s="7">
        <f>+Tabla538[[#This Row],[TERMINO ACTIVIDADES PM]]-Tabla538[[#This Row],[INICIO ACTIVIDADES PM]]</f>
        <v>0.26736111111111116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44860</v>
      </c>
      <c r="D5" s="37">
        <v>0.33680555555555558</v>
      </c>
      <c r="E5" s="37">
        <v>0.34722222222222227</v>
      </c>
      <c r="F5" s="37">
        <v>0.34930555555555554</v>
      </c>
      <c r="G5" s="37">
        <v>0.54166666666666663</v>
      </c>
      <c r="H5" s="37">
        <v>0.54861111111111105</v>
      </c>
      <c r="I5" s="37">
        <v>0.57986111111111105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44860</v>
      </c>
      <c r="P5" s="7">
        <f>D5</f>
        <v>0.33680555555555558</v>
      </c>
      <c r="Q5" s="7">
        <f t="shared" si="0"/>
        <v>1.0416666666666685E-2</v>
      </c>
      <c r="R5" s="7">
        <f t="shared" si="0"/>
        <v>2.0833333333332704E-3</v>
      </c>
      <c r="S5" s="7">
        <f t="shared" si="0"/>
        <v>0.19236111111111109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3.125E-2</v>
      </c>
      <c r="V5" s="7">
        <f>+Tabla538[[#This Row],[TERMINO ACTIVIDADES PM]]-Tabla538[[#This Row],[INICIO ACTIVIDADES PM]]</f>
        <v>0.25347222222222199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44861</v>
      </c>
      <c r="D6" s="37">
        <v>0.33680555555555558</v>
      </c>
      <c r="E6" s="37">
        <v>0.34722222222222227</v>
      </c>
      <c r="F6" s="37">
        <v>0.35069444444444442</v>
      </c>
      <c r="G6" s="37">
        <v>0.52916666666666667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44861</v>
      </c>
      <c r="P6" s="7">
        <f>D6</f>
        <v>0.33680555555555558</v>
      </c>
      <c r="Q6" s="7">
        <f t="shared" si="0"/>
        <v>1.0416666666666685E-2</v>
      </c>
      <c r="R6" s="7">
        <f t="shared" si="0"/>
        <v>3.4722222222221544E-3</v>
      </c>
      <c r="S6" s="7">
        <f t="shared" si="0"/>
        <v>0.17847222222222225</v>
      </c>
      <c r="T6" s="7">
        <f>+Tabla538[[#This Row],[ALMUERZO]]-Tabla538[[#This Row],[TERMINO ACT. AM]]</f>
        <v>9.0277777777777457E-3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44862</v>
      </c>
      <c r="D7" s="37">
        <v>0.33333333333333331</v>
      </c>
      <c r="E7" s="37">
        <v>0.34375</v>
      </c>
      <c r="F7" s="37">
        <v>0.34722222222222227</v>
      </c>
      <c r="G7" s="37">
        <v>0.53125</v>
      </c>
      <c r="H7" s="37">
        <v>0.54166666666666663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44862</v>
      </c>
      <c r="P7" s="7">
        <f>D7</f>
        <v>0.33333333333333331</v>
      </c>
      <c r="Q7" s="7">
        <f t="shared" si="0"/>
        <v>1.0416666666666685E-2</v>
      </c>
      <c r="R7" s="7">
        <f t="shared" si="0"/>
        <v>3.4722222222222654E-3</v>
      </c>
      <c r="S7" s="7">
        <f t="shared" si="0"/>
        <v>0.18402777777777773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3.4722222222222321E-2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0.4513888888888889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0.44791666666666669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0.44583333333333308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0.43541666666666634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0.44097222222222182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0.4443055555555554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1.048852459016393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103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G6" sqref="G6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44858</v>
      </c>
      <c r="D3" s="37">
        <v>0.34027777777777773</v>
      </c>
      <c r="E3" s="37">
        <v>0.3611111111111111</v>
      </c>
      <c r="F3" s="37">
        <v>0.37986111111111115</v>
      </c>
      <c r="G3" s="37">
        <v>0.60416666666666663</v>
      </c>
      <c r="H3" s="37">
        <v>0.61111111111111105</v>
      </c>
      <c r="I3" s="37">
        <v>0.63541666666666663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44858</v>
      </c>
      <c r="P3" s="7">
        <f>D3</f>
        <v>0.34027777777777773</v>
      </c>
      <c r="Q3" s="7">
        <f>E3-D3</f>
        <v>2.083333333333337E-2</v>
      </c>
      <c r="R3" s="7">
        <f>F3-E3</f>
        <v>1.8750000000000044E-2</v>
      </c>
      <c r="S3" s="7">
        <f>G3-F3</f>
        <v>0.22430555555555548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2.083333333333337E-2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44859</v>
      </c>
      <c r="D4" s="37">
        <v>0.34375</v>
      </c>
      <c r="E4" s="37">
        <v>0.36458333333333331</v>
      </c>
      <c r="F4" s="37">
        <v>0.3833333333333333</v>
      </c>
      <c r="G4" s="37">
        <v>0.61111111111111105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Tabla53[[#This Row],[FECHA]]</f>
        <v>44859</v>
      </c>
      <c r="P4" s="7">
        <f>D4</f>
        <v>0.34375</v>
      </c>
      <c r="Q4" s="7">
        <f t="shared" ref="Q4:S7" si="0">E4-D4</f>
        <v>2.0833333333333315E-2</v>
      </c>
      <c r="R4" s="7">
        <f t="shared" si="0"/>
        <v>1.8749999999999989E-2</v>
      </c>
      <c r="S4" s="7">
        <f t="shared" si="0"/>
        <v>0.22777777777777775</v>
      </c>
      <c r="T4" s="7">
        <f>+Tabla53[[#This Row],[ALMUERZO]]-Tabla53[[#This Row],[TERMINO ACT. AM]]</f>
        <v>6.9444444444445308E-3</v>
      </c>
      <c r="U4" s="7">
        <f>+Tabla53[[#This Row],[INICIO ACTIVIDADES PM]]-Tabla53[[#This Row],[ALMUERZO]]</f>
        <v>2.4305555555555469E-2</v>
      </c>
      <c r="V4" s="7">
        <f>+Tabla53[[#This Row],[TERMINO ACTIVIDADES PM]]-Tabla53[[#This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44860</v>
      </c>
      <c r="D5" s="37">
        <v>0.34375</v>
      </c>
      <c r="E5" s="37">
        <v>0.36458333333333331</v>
      </c>
      <c r="F5" s="37">
        <v>0.38194444444444442</v>
      </c>
      <c r="G5" s="37">
        <v>0.61319444444444449</v>
      </c>
      <c r="H5" s="37">
        <v>0.61805555555555558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Tabla53[[#This Row],[FECHA]]</f>
        <v>44860</v>
      </c>
      <c r="P5" s="7">
        <f>D5</f>
        <v>0.34375</v>
      </c>
      <c r="Q5" s="7">
        <f t="shared" si="0"/>
        <v>2.0833333333333315E-2</v>
      </c>
      <c r="R5" s="7">
        <f t="shared" si="0"/>
        <v>1.7361111111111105E-2</v>
      </c>
      <c r="S5" s="7">
        <f t="shared" si="0"/>
        <v>0.23125000000000007</v>
      </c>
      <c r="T5" s="7">
        <f>+Tabla53[[#This Row],[ALMUERZO]]-Tabla53[[#This Row],[TERMINO ACT. AM]]</f>
        <v>4.8611111111110938E-3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44861</v>
      </c>
      <c r="D6" s="37">
        <v>0.34027777777777773</v>
      </c>
      <c r="E6" s="37">
        <v>0.3611111111111111</v>
      </c>
      <c r="F6" s="37">
        <v>0.37708333333333338</v>
      </c>
      <c r="G6" s="37">
        <v>0.61111111111111105</v>
      </c>
      <c r="H6" s="37">
        <v>0.61805555555555558</v>
      </c>
      <c r="I6" s="37">
        <v>0.64583333333333337</v>
      </c>
      <c r="J6" s="46">
        <v>0.65972222222222221</v>
      </c>
      <c r="K6" s="47"/>
      <c r="M6" s="5"/>
      <c r="N6" s="5" t="s">
        <v>17</v>
      </c>
      <c r="O6" s="4">
        <f>Tabla53[[#This Row],[FECHA]]</f>
        <v>44861</v>
      </c>
      <c r="P6" s="7">
        <f>D6</f>
        <v>0.34027777777777773</v>
      </c>
      <c r="Q6" s="7">
        <f t="shared" si="0"/>
        <v>2.083333333333337E-2</v>
      </c>
      <c r="R6" s="7">
        <f t="shared" si="0"/>
        <v>1.5972222222222276E-2</v>
      </c>
      <c r="S6" s="7">
        <f t="shared" si="0"/>
        <v>0.23402777777777767</v>
      </c>
      <c r="T6" s="7">
        <f>+Tabla53[[#This Row],[ALMUERZO]]-Tabla53[[#This Row],[TERMINO ACT. AM]]</f>
        <v>6.9444444444445308E-3</v>
      </c>
      <c r="U6" s="7">
        <f>+Tabla53[[#This Row],[INICIO ACTIVIDADES PM]]-Tabla53[[#This Row],[ALMUERZO]]</f>
        <v>2.777777777777779E-2</v>
      </c>
      <c r="V6" s="7">
        <f>+Tabla53[[#This Row],[TERMINO ACTIVIDADES PM]]-Tabla53[[#This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44862</v>
      </c>
      <c r="D7" s="37">
        <v>0.34027777777777773</v>
      </c>
      <c r="E7" s="37">
        <v>0.36805555555555558</v>
      </c>
      <c r="F7" s="37">
        <v>0.38125000000000003</v>
      </c>
      <c r="G7" s="37">
        <v>0.61249999999999993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Tabla53[[#This Row],[FECHA]]</f>
        <v>44862</v>
      </c>
      <c r="P7" s="7">
        <f>D7</f>
        <v>0.34027777777777773</v>
      </c>
      <c r="Q7" s="7">
        <f t="shared" si="0"/>
        <v>2.7777777777777846E-2</v>
      </c>
      <c r="R7" s="7">
        <f t="shared" si="0"/>
        <v>1.3194444444444453E-2</v>
      </c>
      <c r="S7" s="7">
        <f t="shared" si="0"/>
        <v>0.2312499999999999</v>
      </c>
      <c r="T7" s="7">
        <f>+Tabla53[[#This Row],[ALMUERZO]]-Tabla53[[#This Row],[TERMINO ACT. AM]]</f>
        <v>9.0277777777778567E-3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0.24513888888888885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0.24513888888888891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0.24513888888888874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0.24569444444444438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0.98277777777777753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7" t="s">
        <v>105</v>
      </c>
      <c r="K27" s="178" t="s">
        <v>103</v>
      </c>
      <c r="T27" s="3"/>
    </row>
    <row r="28" spans="1:20" ht="15.6" customHeight="1" x14ac:dyDescent="0.3">
      <c r="J28" s="177"/>
      <c r="K28" s="179"/>
      <c r="T28" s="3"/>
    </row>
    <row r="29" spans="1:20" ht="15.6" customHeight="1" x14ac:dyDescent="0.3">
      <c r="J29" s="177"/>
      <c r="K29" s="179"/>
      <c r="T29" s="3"/>
    </row>
    <row r="30" spans="1:20" ht="15.6" customHeight="1" x14ac:dyDescent="0.3">
      <c r="J30" s="177"/>
      <c r="K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  <col min="18" max="18" width="13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44858</v>
      </c>
      <c r="D3" s="37">
        <v>0.64583333333333337</v>
      </c>
      <c r="E3" s="37">
        <v>0.68055555555555547</v>
      </c>
      <c r="F3" s="37">
        <v>0.70138888888888884</v>
      </c>
      <c r="G3" s="37">
        <v>0.88888888888888884</v>
      </c>
      <c r="H3" s="37">
        <v>0.89930555555555547</v>
      </c>
      <c r="I3" s="37">
        <v>0.93055555555555547</v>
      </c>
      <c r="J3" s="46">
        <v>0.97916666666666663</v>
      </c>
      <c r="K3" s="81" t="s">
        <v>94</v>
      </c>
      <c r="L3" s="53"/>
      <c r="M3" s="53"/>
      <c r="N3" s="57" t="s">
        <v>15</v>
      </c>
      <c r="O3" s="4">
        <f>Tabla53839[[#This Row],[FECHA]]</f>
        <v>44858</v>
      </c>
      <c r="P3" s="7">
        <f>D3</f>
        <v>0.64583333333333337</v>
      </c>
      <c r="Q3" s="7">
        <f>E3-D3</f>
        <v>3.4722222222222099E-2</v>
      </c>
      <c r="R3" s="7">
        <f>F3-E3</f>
        <v>2.083333333333337E-2</v>
      </c>
      <c r="S3" s="7">
        <f>G3-F3</f>
        <v>0.1875</v>
      </c>
      <c r="T3" s="7">
        <f>+Tabla53839[[#This Row],[ALMUERZO]]-Tabla53839[[#This Row],[TERMINO ACT. AM]]</f>
        <v>1.041666666666663E-2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44859</v>
      </c>
      <c r="D4" s="37">
        <v>0.64583333333333337</v>
      </c>
      <c r="E4" s="37">
        <v>0.6875</v>
      </c>
      <c r="F4" s="37">
        <v>0.69791666666666663</v>
      </c>
      <c r="G4" s="37">
        <v>0.88194444444444453</v>
      </c>
      <c r="H4" s="37">
        <v>0.89444444444444438</v>
      </c>
      <c r="I4" s="37">
        <v>0.91666666666666663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44859</v>
      </c>
      <c r="P4" s="7">
        <f>D4</f>
        <v>0.64583333333333337</v>
      </c>
      <c r="Q4" s="7">
        <f t="shared" ref="Q4:S7" si="0">E4-D4</f>
        <v>4.166666666666663E-2</v>
      </c>
      <c r="R4" s="7">
        <f t="shared" si="0"/>
        <v>1.041666666666663E-2</v>
      </c>
      <c r="S4" s="7">
        <f t="shared" si="0"/>
        <v>0.1840277777777779</v>
      </c>
      <c r="T4" s="7">
        <f>+Tabla53839[[#This Row],[ALMUERZO]]-Tabla53839[[#This Row],[TERMINO ACT. AM]]</f>
        <v>1.2499999999999845E-2</v>
      </c>
      <c r="U4" s="7">
        <f>+Tabla53839[[#This Row],[INICIO ACTIVIDADES PM]]-Tabla53839[[#This Row],[ALMUERZO]]</f>
        <v>2.2222222222222254E-2</v>
      </c>
      <c r="V4" s="7">
        <f>+Tabla53839[[#This Row],[TERMINO ACTIVIDADES PM]]-Tabla53839[[#This Row],[INICIO ACTIVIDADES PM]]</f>
        <v>6.25E-2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44860</v>
      </c>
      <c r="D5" s="37">
        <v>0.64583333333333337</v>
      </c>
      <c r="E5" s="37">
        <v>0.68055555555555547</v>
      </c>
      <c r="F5" s="37">
        <v>0.69097222222222221</v>
      </c>
      <c r="G5" s="37">
        <v>0.90277777777777779</v>
      </c>
      <c r="H5" s="37">
        <v>0.91319444444444453</v>
      </c>
      <c r="I5" s="37">
        <v>0.94444444444444453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44860</v>
      </c>
      <c r="P5" s="7">
        <f>D5</f>
        <v>0.64583333333333337</v>
      </c>
      <c r="Q5" s="7">
        <f t="shared" si="0"/>
        <v>3.4722222222222099E-2</v>
      </c>
      <c r="R5" s="7">
        <f t="shared" si="0"/>
        <v>1.0416666666666741E-2</v>
      </c>
      <c r="S5" s="7">
        <f t="shared" si="0"/>
        <v>0.21180555555555558</v>
      </c>
      <c r="T5" s="7">
        <f>+Tabla53839[[#This Row],[ALMUERZO]]-Tabla53839[[#This Row],[TERMINO ACT. AM]]</f>
        <v>1.0416666666666741E-2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3.4722222222222099E-2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44861</v>
      </c>
      <c r="D6" s="37">
        <v>0.64583333333333337</v>
      </c>
      <c r="E6" s="37">
        <v>0.68402777777777779</v>
      </c>
      <c r="F6" s="37">
        <v>0.6875</v>
      </c>
      <c r="G6" s="37">
        <v>0.86111111111111116</v>
      </c>
      <c r="H6" s="37">
        <v>0.87152777777777779</v>
      </c>
      <c r="I6" s="37">
        <v>0.90277777777777779</v>
      </c>
      <c r="J6" s="46">
        <v>0.97916666666666663</v>
      </c>
      <c r="K6" s="81" t="s">
        <v>94</v>
      </c>
      <c r="M6" s="5"/>
      <c r="N6" s="5" t="s">
        <v>17</v>
      </c>
      <c r="O6" s="4">
        <f>Tabla53839[[#This Row],[FECHA]]</f>
        <v>44861</v>
      </c>
      <c r="P6" s="7">
        <f>D6</f>
        <v>0.64583333333333337</v>
      </c>
      <c r="Q6" s="7">
        <f t="shared" si="0"/>
        <v>3.819444444444442E-2</v>
      </c>
      <c r="R6" s="7">
        <f t="shared" si="0"/>
        <v>3.4722222222222099E-3</v>
      </c>
      <c r="S6" s="7">
        <f t="shared" si="0"/>
        <v>0.17361111111111116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7.638888888888884E-2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44862</v>
      </c>
      <c r="D7" s="37">
        <v>0.64583333333333337</v>
      </c>
      <c r="E7" s="37">
        <v>0.67361111111111116</v>
      </c>
      <c r="F7" s="37">
        <v>0.69097222222222221</v>
      </c>
      <c r="G7" s="37">
        <v>0.88194444444444453</v>
      </c>
      <c r="H7" s="37">
        <v>0.89236111111111116</v>
      </c>
      <c r="I7" s="37">
        <v>0.91319444444444453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44862</v>
      </c>
      <c r="P7" s="7">
        <f>D7</f>
        <v>0.64583333333333337</v>
      </c>
      <c r="Q7" s="7">
        <f t="shared" si="0"/>
        <v>2.777777777777779E-2</v>
      </c>
      <c r="R7" s="7">
        <f t="shared" si="0"/>
        <v>1.7361111111111049E-2</v>
      </c>
      <c r="S7" s="7">
        <f t="shared" si="0"/>
        <v>0.19097222222222232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2.083333333333337E-2</v>
      </c>
      <c r="V7" s="7">
        <f>+Tabla53839[[#This Row],[TERMINO ACTIVIDADES PM]]-Tabla53839[[#This Row],[INICIO ACTIVIDADES PM]]</f>
        <v>6.5972222222222099E-2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0.23611111111111116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0.24652777777777768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0.24722222222222223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0.98888888888888893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44858</v>
      </c>
      <c r="D3" s="37">
        <v>0.3125</v>
      </c>
      <c r="E3" s="37">
        <v>0.33333333333333331</v>
      </c>
      <c r="F3" s="37">
        <v>0.36458333333333331</v>
      </c>
      <c r="G3" s="37">
        <v>0.56111111111111112</v>
      </c>
      <c r="H3" s="37">
        <v>0.57291666666666663</v>
      </c>
      <c r="I3" s="37">
        <v>0.60069444444444442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44858</v>
      </c>
      <c r="P3" s="7">
        <f>D3</f>
        <v>0.3125</v>
      </c>
      <c r="Q3" s="7">
        <f>E3-D3</f>
        <v>2.0833333333333315E-2</v>
      </c>
      <c r="R3" s="7">
        <f>F3-E3</f>
        <v>3.125E-2</v>
      </c>
      <c r="S3" s="7">
        <f>G3-F3</f>
        <v>0.1965277777777778</v>
      </c>
      <c r="T3" s="7">
        <f>+Tabla5383940[[#This Row],[ALMUERZO]]-Tabla5383940[[#This Row],[TERMINO ACT. AM]]</f>
        <v>1.1805555555555514E-2</v>
      </c>
      <c r="U3" s="7">
        <f>+Tabla5383940[[#This Row],[INICIO ACTIVIDADES PM]]-Tabla5383940[[#This Row],[ALMUERZO]]</f>
        <v>2.777777777777779E-2</v>
      </c>
      <c r="V3" s="7">
        <f>+Tabla5383940[[#This Row],[TERMINO ACTIVIDADES PM]]-Tabla5383940[[#This Row],[INICIO ACTIVIDADES PM]]</f>
        <v>5.208333333333337E-2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44859</v>
      </c>
      <c r="D4" s="37">
        <v>0.3125</v>
      </c>
      <c r="E4" s="37">
        <v>0.33333333333333331</v>
      </c>
      <c r="F4" s="37">
        <v>0.35972222222222222</v>
      </c>
      <c r="G4" s="37">
        <v>0.60416666666666663</v>
      </c>
      <c r="H4" s="37">
        <v>0.61111111111111105</v>
      </c>
      <c r="I4" s="37">
        <v>0.63541666666666663</v>
      </c>
      <c r="J4" s="46">
        <v>0.65277777777777779</v>
      </c>
      <c r="K4" s="47"/>
      <c r="M4" s="5"/>
      <c r="N4" s="5" t="s">
        <v>16</v>
      </c>
      <c r="O4" s="4">
        <f>Tabla5383940[[#This Row],[FECHA]]</f>
        <v>44859</v>
      </c>
      <c r="P4" s="7">
        <f>D4</f>
        <v>0.3125</v>
      </c>
      <c r="Q4" s="7">
        <f t="shared" ref="Q4:S7" si="0">E4-D4</f>
        <v>2.0833333333333315E-2</v>
      </c>
      <c r="R4" s="7">
        <f t="shared" si="0"/>
        <v>2.6388888888888906E-2</v>
      </c>
      <c r="S4" s="7">
        <f t="shared" si="0"/>
        <v>0.24444444444444441</v>
      </c>
      <c r="T4" s="7">
        <f>+Tabla5383940[[#This Row],[ALMUERZO]]-Tabla5383940[[#This Row],[TERMINO ACT. AM]]</f>
        <v>6.9444444444444198E-3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1.736111111111116E-2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44860</v>
      </c>
      <c r="D5" s="37">
        <v>0.3125</v>
      </c>
      <c r="E5" s="37">
        <v>0.33333333333333331</v>
      </c>
      <c r="F5" s="37">
        <v>0.3576388888888889</v>
      </c>
      <c r="G5" s="37">
        <v>0.5</v>
      </c>
      <c r="H5" s="37">
        <v>0.51041666666666663</v>
      </c>
      <c r="I5" s="37">
        <v>0.54513888888888895</v>
      </c>
      <c r="J5" s="46">
        <v>0.65277777777777779</v>
      </c>
      <c r="K5" s="47"/>
      <c r="M5" s="5"/>
      <c r="N5" s="5" t="s">
        <v>16</v>
      </c>
      <c r="O5" s="4">
        <f>Tabla5383940[[#This Row],[FECHA]]</f>
        <v>44860</v>
      </c>
      <c r="P5" s="7">
        <f>D5</f>
        <v>0.3125</v>
      </c>
      <c r="Q5" s="7">
        <f t="shared" si="0"/>
        <v>2.0833333333333315E-2</v>
      </c>
      <c r="R5" s="7">
        <f t="shared" si="0"/>
        <v>2.430555555555558E-2</v>
      </c>
      <c r="S5" s="7">
        <f t="shared" si="0"/>
        <v>0.1423611111111111</v>
      </c>
      <c r="T5" s="7">
        <f>+Tabla5383940[[#This Row],[ALMUERZO]]-Tabla5383940[[#This Row],[TERMINO ACT. AM]]</f>
        <v>1.041666666666663E-2</v>
      </c>
      <c r="U5" s="7">
        <f>+Tabla5383940[[#This Row],[INICIO ACTIVIDADES PM]]-Tabla5383940[[#This Row],[ALMUERZO]]</f>
        <v>3.4722222222222321E-2</v>
      </c>
      <c r="V5" s="7">
        <f>+Tabla5383940[[#This Row],[TERMINO ACTIVIDADES PM]]-Tabla5383940[[#This Row],[INICIO ACTIVIDADES PM]]</f>
        <v>0.10763888888888884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44861</v>
      </c>
      <c r="D6" s="37">
        <v>0.30902777777777779</v>
      </c>
      <c r="E6" s="37">
        <v>0.33680555555555558</v>
      </c>
      <c r="F6" s="37">
        <v>0.36319444444444443</v>
      </c>
      <c r="G6" s="37">
        <v>0.52430555555555558</v>
      </c>
      <c r="H6" s="37">
        <v>0.53125</v>
      </c>
      <c r="I6" s="37">
        <v>0.55902777777777779</v>
      </c>
      <c r="J6" s="46">
        <v>0.64930555555555558</v>
      </c>
      <c r="K6" s="47"/>
      <c r="M6" s="5"/>
      <c r="N6" s="5" t="s">
        <v>17</v>
      </c>
      <c r="O6" s="4">
        <f>Tabla5383940[[#This Row],[FECHA]]</f>
        <v>44861</v>
      </c>
      <c r="P6" s="7">
        <f>D6</f>
        <v>0.30902777777777779</v>
      </c>
      <c r="Q6" s="7">
        <f t="shared" si="0"/>
        <v>2.777777777777779E-2</v>
      </c>
      <c r="R6" s="7">
        <f t="shared" si="0"/>
        <v>2.6388888888888851E-2</v>
      </c>
      <c r="S6" s="7">
        <f t="shared" si="0"/>
        <v>0.16111111111111115</v>
      </c>
      <c r="T6" s="7">
        <f>+Tabla5383940[[#This Row],[ALMUERZO]]-Tabla5383940[[#This Row],[TERMINO ACT. AM]]</f>
        <v>6.9444444444444198E-3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9.027777777777779E-2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44862</v>
      </c>
      <c r="D7" s="37">
        <v>0.3125</v>
      </c>
      <c r="E7" s="37">
        <v>0.33333333333333331</v>
      </c>
      <c r="F7" s="37">
        <v>0.3576388888888889</v>
      </c>
      <c r="G7" s="37">
        <v>0.57638888888888895</v>
      </c>
      <c r="H7" s="37">
        <v>0.59027777777777779</v>
      </c>
      <c r="I7" s="37">
        <v>0.61458333333333337</v>
      </c>
      <c r="J7" s="46">
        <v>0.65277777777777779</v>
      </c>
      <c r="K7" s="47"/>
      <c r="M7" s="5"/>
      <c r="N7" s="5" t="s">
        <v>18</v>
      </c>
      <c r="O7" s="4">
        <f>Tabla5383940[[#This Row],[FECHA]]</f>
        <v>44862</v>
      </c>
      <c r="P7" s="7">
        <f>D7</f>
        <v>0.3125</v>
      </c>
      <c r="Q7" s="7">
        <f t="shared" si="0"/>
        <v>2.0833333333333315E-2</v>
      </c>
      <c r="R7" s="7">
        <f t="shared" si="0"/>
        <v>2.430555555555558E-2</v>
      </c>
      <c r="S7" s="7">
        <f t="shared" si="0"/>
        <v>0.21875000000000006</v>
      </c>
      <c r="T7" s="7">
        <f>+Tabla5383940[[#This Row],[ALMUERZO]]-Tabla5383940[[#This Row],[TERMINO ACT. AM]]</f>
        <v>1.388888888888884E-2</v>
      </c>
      <c r="U7" s="7">
        <f>+Tabla5383940[[#This Row],[INICIO ACTIVIDADES PM]]-Tabla5383940[[#This Row],[ALMUERZO]]</f>
        <v>2.430555555555558E-2</v>
      </c>
      <c r="V7" s="7">
        <f>+Tabla5383940[[#This Row],[TERMINO ACTIVIDADES PM]]-Tabla5383940[[#This Row],[INICIO ACTIVIDADES PM]]</f>
        <v>3.819444444444442E-2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0.24861111111111117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0.26180555555555557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0.25138888888888894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0.25375000000000003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1.0150000000000001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2022-11-03T14:38:51Z</dcterms:modified>
</cp:coreProperties>
</file>