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9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disciplina\"/>
    </mc:Choice>
  </mc:AlternateContent>
  <xr:revisionPtr revIDLastSave="0" documentId="8_{FE695DB0-6D2E-4D2C-BCD7-804C9E5DA753}" xr6:coauthVersionLast="47" xr6:coauthVersionMax="47" xr10:uidLastSave="{00000000-0000-0000-0000-000000000000}"/>
  <bookViews>
    <workbookView xWindow="-120" yWindow="-120" windowWidth="29040" windowHeight="15840" tabRatio="995" xr2:uid="{00000000-000D-0000-FFFF-FFFF00000000}"/>
  </bookViews>
  <sheets>
    <sheet name="TTE 6 " sheetId="21" r:id="rId1"/>
    <sheet name="SUB 5" sheetId="29" r:id="rId2"/>
    <sheet name="SUB 6" sheetId="26" r:id="rId3"/>
    <sheet name="PIPA N" sheetId="27" r:id="rId4"/>
    <sheet name="DIABLO" sheetId="25" r:id="rId5"/>
    <sheet name="ACCU" sheetId="34" r:id="rId6"/>
    <sheet name="Salvataje" sheetId="45" r:id="rId7"/>
    <sheet name="Vent " sheetId="35" r:id="rId8"/>
    <sheet name="P M" sheetId="36" r:id="rId9"/>
    <sheet name="AC" sheetId="37" r:id="rId10"/>
    <sheet name="Colec" sheetId="38" r:id="rId11"/>
    <sheet name="LA JUNTA" sheetId="39" r:id="rId12"/>
    <sheet name="TTE 7" sheetId="40" r:id="rId13"/>
    <sheet name="CH colon" sheetId="42" r:id="rId14"/>
    <sheet name="Disc Op" sheetId="30" r:id="rId15"/>
    <sheet name="VIMO" sheetId="47" r:id="rId16"/>
    <sheet name="Brocales" sheetId="48" r:id="rId17"/>
    <sheet name="Est sup" sheetId="43" r:id="rId18"/>
    <sheet name="Est mina" sheetId="44" r:id="rId19"/>
    <sheet name="Est ACU" sheetId="46" r:id="rId20"/>
    <sheet name="Tableros 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38" l="1"/>
  <c r="G19" i="38"/>
  <c r="G18" i="38"/>
  <c r="G17" i="38"/>
  <c r="G21" i="38" s="1"/>
  <c r="G23" i="38" s="1"/>
  <c r="G16" i="38"/>
  <c r="G16" i="37"/>
  <c r="G17" i="25"/>
  <c r="L52" i="47" l="1"/>
  <c r="L51" i="47"/>
  <c r="I52" i="47"/>
  <c r="I51" i="47"/>
  <c r="F52" i="47"/>
  <c r="F51" i="47"/>
  <c r="C52" i="47"/>
  <c r="C51" i="47"/>
  <c r="P48" i="47"/>
  <c r="P47" i="47"/>
  <c r="M48" i="47"/>
  <c r="M47" i="47"/>
  <c r="J48" i="47"/>
  <c r="J47" i="47"/>
  <c r="G48" i="47"/>
  <c r="G47" i="47"/>
  <c r="D48" i="47"/>
  <c r="D47" i="47"/>
  <c r="O44" i="47"/>
  <c r="O43" i="47"/>
  <c r="L44" i="47"/>
  <c r="L43" i="47"/>
  <c r="I44" i="47"/>
  <c r="I43" i="47"/>
  <c r="F44" i="47"/>
  <c r="F43" i="47"/>
  <c r="C44" i="47"/>
  <c r="C43" i="47"/>
  <c r="P24" i="47"/>
  <c r="P23" i="47"/>
  <c r="M24" i="47"/>
  <c r="M23" i="47"/>
  <c r="J24" i="47"/>
  <c r="J23" i="47"/>
  <c r="G24" i="47"/>
  <c r="G23" i="47"/>
  <c r="D24" i="47"/>
  <c r="D23" i="47"/>
  <c r="O16" i="47"/>
  <c r="O15" i="47"/>
  <c r="L16" i="47"/>
  <c r="L15" i="47"/>
  <c r="I16" i="47"/>
  <c r="I15" i="47"/>
  <c r="F16" i="47"/>
  <c r="F15" i="47"/>
  <c r="C16" i="47"/>
  <c r="C15" i="47"/>
  <c r="P52" i="47" l="1"/>
  <c r="P51" i="47"/>
  <c r="O28" i="47"/>
  <c r="O27" i="47"/>
  <c r="L28" i="47"/>
  <c r="L27" i="47"/>
  <c r="I28" i="47"/>
  <c r="I27" i="47"/>
  <c r="F28" i="47"/>
  <c r="F27" i="47"/>
  <c r="C28" i="47"/>
  <c r="C27" i="47"/>
  <c r="O12" i="47"/>
  <c r="O11" i="47"/>
  <c r="L12" i="47"/>
  <c r="L11" i="47"/>
  <c r="I12" i="47"/>
  <c r="I11" i="47"/>
  <c r="F12" i="47"/>
  <c r="F11" i="47"/>
  <c r="C12" i="47"/>
  <c r="C11" i="47"/>
  <c r="P8" i="47"/>
  <c r="P7" i="47"/>
  <c r="M8" i="47"/>
  <c r="M7" i="47"/>
  <c r="J8" i="47"/>
  <c r="J7" i="47"/>
  <c r="G8" i="47"/>
  <c r="G7" i="47"/>
  <c r="D8" i="47"/>
  <c r="D7" i="47"/>
  <c r="P56" i="47" l="1"/>
  <c r="P55" i="47"/>
  <c r="M56" i="47"/>
  <c r="M55" i="47"/>
  <c r="J56" i="47"/>
  <c r="J55" i="47"/>
  <c r="G56" i="47"/>
  <c r="G55" i="47"/>
  <c r="D56" i="47"/>
  <c r="D55" i="47"/>
  <c r="O32" i="47" l="1"/>
  <c r="O31" i="47"/>
  <c r="L32" i="47"/>
  <c r="L31" i="47"/>
  <c r="I32" i="47"/>
  <c r="I31" i="47"/>
  <c r="F32" i="47"/>
  <c r="F31" i="47"/>
  <c r="C32" i="47"/>
  <c r="C31" i="47"/>
  <c r="C7" i="42" l="1"/>
  <c r="C6" i="42"/>
  <c r="C5" i="42"/>
  <c r="C4" i="42"/>
  <c r="C3" i="42"/>
  <c r="X11" i="47" l="1"/>
  <c r="X12" i="47"/>
  <c r="Y11" i="48" l="1"/>
  <c r="Z11" i="48"/>
  <c r="Z10" i="48"/>
  <c r="U7" i="48" l="1"/>
  <c r="R7" i="48"/>
  <c r="O7" i="48"/>
  <c r="L7" i="48"/>
  <c r="I7" i="48"/>
  <c r="F7" i="48"/>
  <c r="C7" i="48"/>
  <c r="X11" i="48"/>
  <c r="Y10" i="48"/>
  <c r="X10" i="48"/>
  <c r="AA11" i="48" l="1"/>
  <c r="AB11" i="48" s="1"/>
  <c r="AA10" i="48"/>
  <c r="AB10" i="48" s="1"/>
  <c r="Y48" i="47"/>
  <c r="Y47" i="47"/>
  <c r="X44" i="47"/>
  <c r="X43" i="47"/>
  <c r="X24" i="47"/>
  <c r="X16" i="47"/>
  <c r="X15" i="47"/>
  <c r="X23" i="47" l="1"/>
  <c r="Y12" i="47"/>
  <c r="Y11" i="47"/>
  <c r="X8" i="47"/>
  <c r="X7" i="47"/>
  <c r="Y43" i="47" l="1"/>
  <c r="C40" i="47"/>
  <c r="C39" i="47"/>
  <c r="C36" i="47"/>
  <c r="C35" i="47"/>
  <c r="C20" i="47"/>
  <c r="C19" i="47"/>
  <c r="Y44" i="47" l="1"/>
  <c r="T4" i="47" l="1"/>
  <c r="Q4" i="47"/>
  <c r="C6" i="34"/>
  <c r="C7" i="34"/>
  <c r="N4" i="47"/>
  <c r="K4" i="47"/>
  <c r="H4" i="47"/>
  <c r="E4" i="47"/>
  <c r="B4" i="47"/>
  <c r="O60" i="47" l="1"/>
  <c r="L60" i="47"/>
  <c r="I60" i="47"/>
  <c r="F60" i="47"/>
  <c r="O59" i="47"/>
  <c r="L59" i="47"/>
  <c r="I59" i="47"/>
  <c r="F59" i="47"/>
  <c r="C60" i="47"/>
  <c r="C59" i="47"/>
  <c r="X56" i="47"/>
  <c r="X55" i="47"/>
  <c r="X51" i="47"/>
  <c r="Y52" i="47"/>
  <c r="Y51" i="47"/>
  <c r="X48" i="47"/>
  <c r="X47" i="47"/>
  <c r="O40" i="47"/>
  <c r="L40" i="47"/>
  <c r="I40" i="47"/>
  <c r="F40" i="47"/>
  <c r="O39" i="47"/>
  <c r="L39" i="47"/>
  <c r="I39" i="47"/>
  <c r="F39" i="47"/>
  <c r="O36" i="47"/>
  <c r="L36" i="47"/>
  <c r="I36" i="47"/>
  <c r="F36" i="47"/>
  <c r="O35" i="47"/>
  <c r="L35" i="47"/>
  <c r="I35" i="47"/>
  <c r="F35" i="47"/>
  <c r="X28" i="47"/>
  <c r="X27" i="47"/>
  <c r="O20" i="47"/>
  <c r="L20" i="47"/>
  <c r="I20" i="47"/>
  <c r="F20" i="47"/>
  <c r="O19" i="47"/>
  <c r="L19" i="47"/>
  <c r="I19" i="47"/>
  <c r="F19" i="47"/>
  <c r="Y8" i="47"/>
  <c r="Y7" i="47"/>
  <c r="Y61" i="47"/>
  <c r="W61" i="47"/>
  <c r="Y60" i="47"/>
  <c r="W60" i="47"/>
  <c r="Y59" i="47"/>
  <c r="W59" i="47"/>
  <c r="W57" i="47"/>
  <c r="Y56" i="47"/>
  <c r="W56" i="47"/>
  <c r="Y55" i="47"/>
  <c r="W55" i="47"/>
  <c r="W53" i="47"/>
  <c r="X52" i="47"/>
  <c r="W52" i="47"/>
  <c r="W51" i="47"/>
  <c r="W49" i="47"/>
  <c r="W48" i="47"/>
  <c r="W47" i="47"/>
  <c r="W45" i="47"/>
  <c r="W44" i="47"/>
  <c r="W43" i="47"/>
  <c r="Y41" i="47"/>
  <c r="W41" i="47"/>
  <c r="Y40" i="47"/>
  <c r="W40" i="47"/>
  <c r="Y39" i="47"/>
  <c r="W39" i="47"/>
  <c r="Y37" i="47"/>
  <c r="W37" i="47"/>
  <c r="Y36" i="47"/>
  <c r="W36" i="47"/>
  <c r="Y35" i="47"/>
  <c r="W35" i="47"/>
  <c r="W33" i="47"/>
  <c r="Y32" i="47"/>
  <c r="W32" i="47"/>
  <c r="Y31" i="47"/>
  <c r="W31" i="47"/>
  <c r="W29" i="47"/>
  <c r="Y28" i="47"/>
  <c r="W28" i="47"/>
  <c r="Y27" i="47"/>
  <c r="W27" i="47"/>
  <c r="W25" i="47"/>
  <c r="Y24" i="47"/>
  <c r="W24" i="47"/>
  <c r="Y23" i="47"/>
  <c r="W23" i="47"/>
  <c r="Y21" i="47"/>
  <c r="W21" i="47"/>
  <c r="Y20" i="47"/>
  <c r="W20" i="47"/>
  <c r="Y19" i="47"/>
  <c r="W19" i="47"/>
  <c r="W17" i="47"/>
  <c r="W16" i="47"/>
  <c r="W15" i="47"/>
  <c r="W13" i="47"/>
  <c r="W12" i="47"/>
  <c r="W11" i="47"/>
  <c r="W9" i="47"/>
  <c r="W8" i="47"/>
  <c r="W7" i="47"/>
  <c r="X60" i="47" l="1"/>
  <c r="X40" i="47"/>
  <c r="X59" i="47"/>
  <c r="X39" i="47"/>
  <c r="X20" i="47"/>
  <c r="Y16" i="47"/>
  <c r="X31" i="47"/>
  <c r="X36" i="47"/>
  <c r="Y15" i="47"/>
  <c r="X32" i="47"/>
  <c r="X19" i="47"/>
  <c r="X35" i="47"/>
  <c r="C7" i="45" l="1"/>
  <c r="C7" i="29"/>
  <c r="C6" i="29"/>
  <c r="C4" i="29"/>
  <c r="C5" i="29"/>
  <c r="C3" i="29"/>
  <c r="C6" i="40" l="1"/>
  <c r="C7" i="40"/>
  <c r="C7" i="39"/>
  <c r="C4" i="38"/>
  <c r="C5" i="38"/>
  <c r="C6" i="38"/>
  <c r="C7" i="38"/>
  <c r="C6" i="37"/>
  <c r="C7" i="37"/>
  <c r="C6" i="36"/>
  <c r="C7" i="36"/>
  <c r="C6" i="35"/>
  <c r="C7" i="35"/>
  <c r="C4" i="34"/>
  <c r="C5" i="34"/>
  <c r="C4" i="25"/>
  <c r="C5" i="25"/>
  <c r="C6" i="25"/>
  <c r="C7" i="25"/>
  <c r="C4" i="27"/>
  <c r="C5" i="27"/>
  <c r="C6" i="27"/>
  <c r="C7" i="27"/>
  <c r="C4" i="26"/>
  <c r="C5" i="26"/>
  <c r="C6" i="26"/>
  <c r="C7" i="26"/>
  <c r="C3" i="37" l="1"/>
  <c r="C4" i="37"/>
  <c r="C5" i="37"/>
  <c r="C4" i="40" l="1"/>
  <c r="C5" i="40"/>
  <c r="C3" i="40"/>
  <c r="C4" i="39"/>
  <c r="C5" i="39"/>
  <c r="C6" i="39"/>
  <c r="C3" i="39"/>
  <c r="C3" i="38"/>
  <c r="C4" i="36"/>
  <c r="C5" i="36"/>
  <c r="C3" i="36"/>
  <c r="C4" i="35"/>
  <c r="C5" i="35"/>
  <c r="C3" i="35"/>
  <c r="C4" i="45"/>
  <c r="C5" i="45"/>
  <c r="C6" i="45"/>
  <c r="C3" i="45"/>
  <c r="C3" i="34"/>
  <c r="C3" i="25"/>
  <c r="C3" i="27"/>
  <c r="C3" i="26"/>
  <c r="G16" i="45" l="1"/>
  <c r="C37" i="47" s="1"/>
  <c r="G20" i="45" l="1"/>
  <c r="O37" i="47" s="1"/>
  <c r="G19" i="45"/>
  <c r="L37" i="47" s="1"/>
  <c r="G18" i="45"/>
  <c r="I37" i="47" s="1"/>
  <c r="G17" i="45"/>
  <c r="F37" i="47" s="1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X37" i="47" l="1"/>
  <c r="G21" i="45"/>
  <c r="C45" i="47"/>
  <c r="G17" i="37"/>
  <c r="G18" i="37"/>
  <c r="I45" i="47" s="1"/>
  <c r="G19" i="37"/>
  <c r="L45" i="47" s="1"/>
  <c r="S3" i="37"/>
  <c r="S4" i="37"/>
  <c r="S5" i="37"/>
  <c r="S6" i="37"/>
  <c r="S7" i="37"/>
  <c r="S3" i="29"/>
  <c r="R3" i="37"/>
  <c r="T6" i="29"/>
  <c r="G16" i="29"/>
  <c r="C17" i="47" s="1"/>
  <c r="G19" i="29"/>
  <c r="L17" i="47" s="1"/>
  <c r="G20" i="29"/>
  <c r="O17" i="47" s="1"/>
  <c r="F45" i="47" l="1"/>
  <c r="G23" i="45"/>
  <c r="C9" i="30"/>
  <c r="D9" i="30" s="1"/>
  <c r="I27" i="22" l="1"/>
  <c r="I26" i="22"/>
  <c r="I25" i="22"/>
  <c r="I24" i="22"/>
  <c r="I23" i="22"/>
  <c r="I22" i="22"/>
  <c r="I18" i="22"/>
  <c r="I17" i="22"/>
  <c r="I16" i="22"/>
  <c r="I15" i="22"/>
  <c r="I14" i="22"/>
  <c r="I13" i="22"/>
  <c r="I9" i="22"/>
  <c r="I8" i="22"/>
  <c r="I7" i="22"/>
  <c r="I6" i="22"/>
  <c r="I5" i="22"/>
  <c r="I4" i="22"/>
  <c r="G20" i="42"/>
  <c r="O33" i="47" s="1"/>
  <c r="G19" i="42"/>
  <c r="L33" i="47" s="1"/>
  <c r="G18" i="42"/>
  <c r="I33" i="47" s="1"/>
  <c r="G17" i="42"/>
  <c r="F33" i="47" s="1"/>
  <c r="G16" i="42"/>
  <c r="C33" i="47" s="1"/>
  <c r="M9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G20" i="40"/>
  <c r="P9" i="47" s="1"/>
  <c r="G19" i="40"/>
  <c r="M9" i="47" s="1"/>
  <c r="G18" i="40"/>
  <c r="J9" i="47" s="1"/>
  <c r="G17" i="40"/>
  <c r="G9" i="47" s="1"/>
  <c r="G16" i="40"/>
  <c r="D9" i="47" s="1"/>
  <c r="M9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G20" i="39"/>
  <c r="O41" i="47" s="1"/>
  <c r="G19" i="39"/>
  <c r="L41" i="47" s="1"/>
  <c r="G18" i="39"/>
  <c r="I41" i="47" s="1"/>
  <c r="G17" i="39"/>
  <c r="F41" i="47" s="1"/>
  <c r="G16" i="39"/>
  <c r="M9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AC3" i="39"/>
  <c r="AB3" i="39"/>
  <c r="AA3" i="39"/>
  <c r="Z3" i="39"/>
  <c r="Y3" i="39"/>
  <c r="X3" i="39"/>
  <c r="W3" i="39"/>
  <c r="V3" i="39"/>
  <c r="U3" i="39"/>
  <c r="T3" i="39"/>
  <c r="S3" i="39"/>
  <c r="R3" i="39"/>
  <c r="Q3" i="39"/>
  <c r="P3" i="39"/>
  <c r="O3" i="39"/>
  <c r="O3" i="38"/>
  <c r="P3" i="38"/>
  <c r="Q3" i="38"/>
  <c r="R3" i="38"/>
  <c r="S3" i="38"/>
  <c r="T3" i="38"/>
  <c r="U3" i="38"/>
  <c r="V3" i="38"/>
  <c r="W3" i="38"/>
  <c r="X3" i="38"/>
  <c r="Y3" i="38"/>
  <c r="Z3" i="38"/>
  <c r="AA3" i="38"/>
  <c r="AB3" i="38"/>
  <c r="AC3" i="38"/>
  <c r="O4" i="38"/>
  <c r="P4" i="38"/>
  <c r="Q4" i="38"/>
  <c r="R4" i="38"/>
  <c r="S4" i="38"/>
  <c r="T4" i="38"/>
  <c r="U4" i="38"/>
  <c r="V4" i="38"/>
  <c r="W4" i="38"/>
  <c r="X4" i="38"/>
  <c r="Y4" i="38"/>
  <c r="Z4" i="38"/>
  <c r="AA4" i="38"/>
  <c r="AB4" i="38"/>
  <c r="AC4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O6" i="38"/>
  <c r="P6" i="38"/>
  <c r="Q6" i="38"/>
  <c r="R6" i="38"/>
  <c r="S6" i="38"/>
  <c r="T6" i="38"/>
  <c r="U6" i="38"/>
  <c r="V6" i="38"/>
  <c r="W6" i="38"/>
  <c r="X6" i="38"/>
  <c r="Y6" i="38"/>
  <c r="Z6" i="38"/>
  <c r="AA6" i="38"/>
  <c r="AB6" i="38"/>
  <c r="AC6" i="38"/>
  <c r="O7" i="38"/>
  <c r="P7" i="38"/>
  <c r="Q7" i="38"/>
  <c r="R7" i="38"/>
  <c r="S7" i="38"/>
  <c r="T7" i="38"/>
  <c r="U7" i="38"/>
  <c r="V7" i="38"/>
  <c r="W7" i="38"/>
  <c r="X7" i="38"/>
  <c r="Y7" i="38"/>
  <c r="Z7" i="38"/>
  <c r="AA7" i="38"/>
  <c r="AB7" i="38"/>
  <c r="AC7" i="38"/>
  <c r="M9" i="38"/>
  <c r="D49" i="47"/>
  <c r="G49" i="47"/>
  <c r="J49" i="47"/>
  <c r="M49" i="47"/>
  <c r="P49" i="47"/>
  <c r="G20" i="37"/>
  <c r="M9" i="37"/>
  <c r="AC7" i="37"/>
  <c r="AB7" i="37"/>
  <c r="AA7" i="37"/>
  <c r="Z7" i="37"/>
  <c r="Y7" i="37"/>
  <c r="X7" i="37"/>
  <c r="W7" i="37"/>
  <c r="V7" i="37"/>
  <c r="U7" i="37"/>
  <c r="T7" i="37"/>
  <c r="R7" i="37"/>
  <c r="Q7" i="37"/>
  <c r="P7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AC5" i="37"/>
  <c r="AB5" i="37"/>
  <c r="AA5" i="37"/>
  <c r="Z5" i="37"/>
  <c r="Y5" i="37"/>
  <c r="X5" i="37"/>
  <c r="W5" i="37"/>
  <c r="V5" i="37"/>
  <c r="U5" i="37"/>
  <c r="T5" i="37"/>
  <c r="R5" i="37"/>
  <c r="Q5" i="37"/>
  <c r="P5" i="37"/>
  <c r="AC4" i="37"/>
  <c r="AB4" i="37"/>
  <c r="AA4" i="37"/>
  <c r="Z4" i="37"/>
  <c r="Y4" i="37"/>
  <c r="X4" i="37"/>
  <c r="W4" i="37"/>
  <c r="V4" i="37"/>
  <c r="U4" i="37"/>
  <c r="T4" i="37"/>
  <c r="R4" i="37"/>
  <c r="Q4" i="37"/>
  <c r="P4" i="37"/>
  <c r="AC3" i="37"/>
  <c r="AB3" i="37"/>
  <c r="AA3" i="37"/>
  <c r="Z3" i="37"/>
  <c r="Y3" i="37"/>
  <c r="X3" i="37"/>
  <c r="W3" i="37"/>
  <c r="V3" i="37"/>
  <c r="U3" i="37"/>
  <c r="T3" i="37"/>
  <c r="Q3" i="37"/>
  <c r="P3" i="37"/>
  <c r="G20" i="36"/>
  <c r="P53" i="47" s="1"/>
  <c r="G19" i="36"/>
  <c r="L53" i="47" s="1"/>
  <c r="G18" i="36"/>
  <c r="I53" i="47" s="1"/>
  <c r="G17" i="36"/>
  <c r="F53" i="47" s="1"/>
  <c r="G16" i="36"/>
  <c r="C53" i="47" s="1"/>
  <c r="M9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AC3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O3" i="36"/>
  <c r="P5" i="27"/>
  <c r="M9" i="35"/>
  <c r="G20" i="35"/>
  <c r="P57" i="47" s="1"/>
  <c r="G19" i="35"/>
  <c r="M57" i="47" s="1"/>
  <c r="G18" i="35"/>
  <c r="J57" i="47" s="1"/>
  <c r="G17" i="35"/>
  <c r="G57" i="47" s="1"/>
  <c r="G16" i="35"/>
  <c r="D57" i="47" s="1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AC6" i="35"/>
  <c r="AB6" i="35"/>
  <c r="AA6" i="35"/>
  <c r="Z6" i="35"/>
  <c r="Y6" i="35"/>
  <c r="X6" i="35"/>
  <c r="W6" i="35"/>
  <c r="V6" i="35"/>
  <c r="U6" i="35"/>
  <c r="T6" i="35"/>
  <c r="S6" i="35"/>
  <c r="R6" i="35"/>
  <c r="Q6" i="35"/>
  <c r="P6" i="35"/>
  <c r="O6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AC4" i="35"/>
  <c r="AB4" i="35"/>
  <c r="AA4" i="35"/>
  <c r="Z4" i="35"/>
  <c r="Y4" i="35"/>
  <c r="X4" i="35"/>
  <c r="W4" i="35"/>
  <c r="V4" i="35"/>
  <c r="U4" i="35"/>
  <c r="T4" i="35"/>
  <c r="S4" i="35"/>
  <c r="R4" i="35"/>
  <c r="Q4" i="35"/>
  <c r="P4" i="35"/>
  <c r="O4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G20" i="34"/>
  <c r="O61" i="47" s="1"/>
  <c r="G19" i="34"/>
  <c r="L61" i="47" s="1"/>
  <c r="G18" i="34"/>
  <c r="I61" i="47" s="1"/>
  <c r="G17" i="34"/>
  <c r="F61" i="47" s="1"/>
  <c r="G16" i="34"/>
  <c r="C61" i="47" s="1"/>
  <c r="M9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AC6" i="34"/>
  <c r="AB6" i="34"/>
  <c r="AA6" i="34"/>
  <c r="Z6" i="34"/>
  <c r="Y6" i="34"/>
  <c r="X6" i="34"/>
  <c r="W6" i="34"/>
  <c r="V6" i="34"/>
  <c r="U6" i="34"/>
  <c r="T6" i="34"/>
  <c r="S6" i="34"/>
  <c r="R6" i="34"/>
  <c r="Q6" i="34"/>
  <c r="P6" i="34"/>
  <c r="O6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AC4" i="34"/>
  <c r="AB4" i="34"/>
  <c r="AA4" i="34"/>
  <c r="Z4" i="34"/>
  <c r="Y4" i="34"/>
  <c r="X4" i="34"/>
  <c r="W4" i="34"/>
  <c r="V4" i="34"/>
  <c r="U4" i="34"/>
  <c r="T4" i="34"/>
  <c r="S4" i="34"/>
  <c r="R4" i="34"/>
  <c r="Q4" i="34"/>
  <c r="P4" i="34"/>
  <c r="O4" i="34"/>
  <c r="AC3" i="34"/>
  <c r="AB3" i="34"/>
  <c r="AA3" i="34"/>
  <c r="Z3" i="34"/>
  <c r="Y3" i="34"/>
  <c r="X3" i="34"/>
  <c r="W3" i="34"/>
  <c r="V3" i="34"/>
  <c r="U3" i="34"/>
  <c r="T3" i="34"/>
  <c r="S3" i="34"/>
  <c r="R3" i="34"/>
  <c r="Q3" i="34"/>
  <c r="P3" i="34"/>
  <c r="O3" i="34"/>
  <c r="G20" i="25"/>
  <c r="P25" i="47" s="1"/>
  <c r="G19" i="25"/>
  <c r="M25" i="47" s="1"/>
  <c r="G18" i="25"/>
  <c r="J25" i="47" s="1"/>
  <c r="G25" i="47"/>
  <c r="G16" i="25"/>
  <c r="M9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G20" i="27"/>
  <c r="O29" i="47" s="1"/>
  <c r="G19" i="27"/>
  <c r="L29" i="47" s="1"/>
  <c r="G18" i="27"/>
  <c r="I29" i="47" s="1"/>
  <c r="G17" i="27"/>
  <c r="F29" i="47" s="1"/>
  <c r="G16" i="27"/>
  <c r="C29" i="47" s="1"/>
  <c r="M9" i="27"/>
  <c r="X7" i="27"/>
  <c r="W7" i="27"/>
  <c r="V7" i="27"/>
  <c r="U7" i="27"/>
  <c r="T7" i="27"/>
  <c r="S7" i="27"/>
  <c r="R7" i="27"/>
  <c r="Q7" i="27"/>
  <c r="P7" i="27"/>
  <c r="O7" i="27"/>
  <c r="X6" i="27"/>
  <c r="W6" i="27"/>
  <c r="V6" i="27"/>
  <c r="U6" i="27"/>
  <c r="T6" i="27"/>
  <c r="S6" i="27"/>
  <c r="R6" i="27"/>
  <c r="Q6" i="27"/>
  <c r="P6" i="27"/>
  <c r="O6" i="27"/>
  <c r="X5" i="27"/>
  <c r="W5" i="27"/>
  <c r="V5" i="27"/>
  <c r="U5" i="27"/>
  <c r="T5" i="27"/>
  <c r="S5" i="27"/>
  <c r="R5" i="27"/>
  <c r="Q5" i="27"/>
  <c r="O5" i="27"/>
  <c r="X4" i="27"/>
  <c r="W4" i="27"/>
  <c r="V4" i="27"/>
  <c r="U4" i="27"/>
  <c r="T4" i="27"/>
  <c r="S4" i="27"/>
  <c r="R4" i="27"/>
  <c r="Q4" i="27"/>
  <c r="P4" i="27"/>
  <c r="O4" i="27"/>
  <c r="X3" i="27"/>
  <c r="W3" i="27"/>
  <c r="V3" i="27"/>
  <c r="U3" i="27"/>
  <c r="T3" i="27"/>
  <c r="S3" i="27"/>
  <c r="R3" i="27"/>
  <c r="Q3" i="27"/>
  <c r="P3" i="27"/>
  <c r="O3" i="27"/>
  <c r="C41" i="47" l="1"/>
  <c r="X41" i="47" s="1"/>
  <c r="G21" i="39"/>
  <c r="O45" i="47"/>
  <c r="X45" i="47" s="1"/>
  <c r="G21" i="37"/>
  <c r="D25" i="47"/>
  <c r="Y25" i="47" s="1"/>
  <c r="G21" i="25"/>
  <c r="X61" i="47"/>
  <c r="X9" i="47"/>
  <c r="Y57" i="47"/>
  <c r="Y33" i="47"/>
  <c r="Y49" i="47"/>
  <c r="X25" i="47"/>
  <c r="Y9" i="47"/>
  <c r="X57" i="47"/>
  <c r="X29" i="47"/>
  <c r="X49" i="47"/>
  <c r="Y45" i="47"/>
  <c r="Y29" i="47"/>
  <c r="X33" i="47"/>
  <c r="G21" i="27"/>
  <c r="G21" i="34"/>
  <c r="G21" i="35"/>
  <c r="G21" i="42"/>
  <c r="G21" i="40"/>
  <c r="G21" i="36"/>
  <c r="C13" i="30" s="1"/>
  <c r="G23" i="34" l="1"/>
  <c r="C15" i="30"/>
  <c r="G23" i="40"/>
  <c r="C2" i="30"/>
  <c r="D2" i="30" s="1"/>
  <c r="G23" i="35"/>
  <c r="C14" i="30"/>
  <c r="D14" i="30" s="1"/>
  <c r="G23" i="25"/>
  <c r="C6" i="30"/>
  <c r="D6" i="30" s="1"/>
  <c r="C12" i="30"/>
  <c r="D12" i="30" s="1"/>
  <c r="G23" i="27"/>
  <c r="C7" i="30"/>
  <c r="D7" i="30" s="1"/>
  <c r="G23" i="37"/>
  <c r="C11" i="30"/>
  <c r="D11" i="30" s="1"/>
  <c r="G23" i="39"/>
  <c r="C10" i="30"/>
  <c r="D10" i="30" s="1"/>
  <c r="C8" i="30"/>
  <c r="D8" i="30" s="1"/>
  <c r="X53" i="47"/>
  <c r="Y53" i="47"/>
  <c r="G23" i="36"/>
  <c r="D15" i="30"/>
  <c r="G23" i="42"/>
  <c r="D13" i="30"/>
  <c r="G20" i="26" l="1"/>
  <c r="O13" i="47" s="1"/>
  <c r="G19" i="26"/>
  <c r="L13" i="47" s="1"/>
  <c r="G18" i="26"/>
  <c r="I13" i="47" s="1"/>
  <c r="G17" i="26"/>
  <c r="F13" i="47" s="1"/>
  <c r="G16" i="26"/>
  <c r="C13" i="47" s="1"/>
  <c r="M9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X13" i="47" l="1"/>
  <c r="Y13" i="47"/>
  <c r="G21" i="26"/>
  <c r="G23" i="26" l="1"/>
  <c r="C3" i="30"/>
  <c r="D3" i="30" s="1"/>
  <c r="G17" i="21"/>
  <c r="F21" i="47" s="1"/>
  <c r="G18" i="21"/>
  <c r="I21" i="47" s="1"/>
  <c r="G19" i="21"/>
  <c r="L21" i="47" s="1"/>
  <c r="G20" i="21"/>
  <c r="O21" i="47" s="1"/>
  <c r="G16" i="21"/>
  <c r="C21" i="47" s="1"/>
  <c r="G17" i="29"/>
  <c r="F17" i="47" s="1"/>
  <c r="G18" i="29"/>
  <c r="I17" i="47" s="1"/>
  <c r="AC4" i="29"/>
  <c r="AC5" i="29"/>
  <c r="AC6" i="29"/>
  <c r="AC7" i="29"/>
  <c r="AC3" i="29"/>
  <c r="AB4" i="29"/>
  <c r="AB5" i="29"/>
  <c r="AB6" i="29"/>
  <c r="AB7" i="29"/>
  <c r="AB3" i="29"/>
  <c r="AA4" i="29"/>
  <c r="AA5" i="29"/>
  <c r="AA6" i="29"/>
  <c r="AA7" i="29"/>
  <c r="AA3" i="29"/>
  <c r="Z4" i="29"/>
  <c r="Z5" i="29"/>
  <c r="Z6" i="29"/>
  <c r="Z7" i="29"/>
  <c r="Z3" i="29"/>
  <c r="Y4" i="29"/>
  <c r="Y5" i="29"/>
  <c r="Y6" i="29"/>
  <c r="Y7" i="29"/>
  <c r="Y3" i="29"/>
  <c r="X4" i="29"/>
  <c r="X5" i="29"/>
  <c r="X6" i="29"/>
  <c r="X7" i="29"/>
  <c r="X3" i="29"/>
  <c r="W4" i="29"/>
  <c r="W5" i="29"/>
  <c r="W6" i="29"/>
  <c r="W7" i="29"/>
  <c r="W3" i="29"/>
  <c r="AC4" i="21"/>
  <c r="AC5" i="21"/>
  <c r="AC6" i="21"/>
  <c r="AC7" i="21"/>
  <c r="AC3" i="21"/>
  <c r="AB4" i="21"/>
  <c r="AB5" i="21"/>
  <c r="AB6" i="21"/>
  <c r="AB7" i="21"/>
  <c r="AB3" i="21"/>
  <c r="AA4" i="21"/>
  <c r="AA5" i="21"/>
  <c r="AA6" i="21"/>
  <c r="AA7" i="21"/>
  <c r="AA3" i="21"/>
  <c r="Z4" i="21"/>
  <c r="Z5" i="21"/>
  <c r="Z6" i="21"/>
  <c r="Z7" i="21"/>
  <c r="Z3" i="21"/>
  <c r="Y4" i="21"/>
  <c r="Y5" i="21"/>
  <c r="Y6" i="21"/>
  <c r="Y7" i="21"/>
  <c r="Y3" i="21"/>
  <c r="X4" i="21"/>
  <c r="X5" i="21"/>
  <c r="X6" i="21"/>
  <c r="X7" i="21"/>
  <c r="X3" i="21"/>
  <c r="W4" i="21"/>
  <c r="W5" i="21"/>
  <c r="W6" i="21"/>
  <c r="W7" i="21"/>
  <c r="W3" i="21"/>
  <c r="M9" i="29"/>
  <c r="V7" i="29"/>
  <c r="U7" i="29"/>
  <c r="T7" i="29"/>
  <c r="S7" i="29"/>
  <c r="R7" i="29"/>
  <c r="Q7" i="29"/>
  <c r="P7" i="29"/>
  <c r="O7" i="29"/>
  <c r="V6" i="29"/>
  <c r="U6" i="29"/>
  <c r="S6" i="29"/>
  <c r="R6" i="29"/>
  <c r="Q6" i="29"/>
  <c r="P6" i="29"/>
  <c r="O6" i="29"/>
  <c r="V5" i="29"/>
  <c r="U5" i="29"/>
  <c r="T5" i="29"/>
  <c r="S5" i="29"/>
  <c r="R5" i="29"/>
  <c r="Q5" i="29"/>
  <c r="P5" i="29"/>
  <c r="O5" i="29"/>
  <c r="V4" i="29"/>
  <c r="U4" i="29"/>
  <c r="T4" i="29"/>
  <c r="S4" i="29"/>
  <c r="R4" i="29"/>
  <c r="Q4" i="29"/>
  <c r="P4" i="29"/>
  <c r="O4" i="29"/>
  <c r="V3" i="29"/>
  <c r="U3" i="29"/>
  <c r="T3" i="29"/>
  <c r="R3" i="29"/>
  <c r="Q3" i="29"/>
  <c r="P3" i="29"/>
  <c r="O3" i="29"/>
  <c r="T4" i="21"/>
  <c r="T5" i="21"/>
  <c r="T6" i="21"/>
  <c r="T7" i="21"/>
  <c r="T3" i="21"/>
  <c r="V4" i="21"/>
  <c r="V5" i="21"/>
  <c r="V6" i="21"/>
  <c r="V7" i="21"/>
  <c r="U4" i="21"/>
  <c r="U5" i="21"/>
  <c r="U6" i="21"/>
  <c r="U7" i="21"/>
  <c r="S4" i="21"/>
  <c r="S5" i="21"/>
  <c r="S6" i="21"/>
  <c r="S7" i="21"/>
  <c r="R4" i="21"/>
  <c r="R5" i="21"/>
  <c r="R6" i="21"/>
  <c r="R7" i="21"/>
  <c r="Q4" i="21"/>
  <c r="Q5" i="21"/>
  <c r="Q6" i="21"/>
  <c r="Q7" i="21"/>
  <c r="V3" i="21"/>
  <c r="U3" i="21"/>
  <c r="S3" i="21"/>
  <c r="R3" i="21"/>
  <c r="Q3" i="21"/>
  <c r="M9" i="21"/>
  <c r="P7" i="21"/>
  <c r="O7" i="21"/>
  <c r="P6" i="21"/>
  <c r="O6" i="21"/>
  <c r="P5" i="21"/>
  <c r="O5" i="21"/>
  <c r="P4" i="21"/>
  <c r="O4" i="21"/>
  <c r="P3" i="21"/>
  <c r="O3" i="21"/>
  <c r="X17" i="47" l="1"/>
  <c r="X21" i="47"/>
  <c r="Y17" i="47"/>
  <c r="G21" i="29"/>
  <c r="C4" i="30" s="1"/>
  <c r="G21" i="21"/>
  <c r="C5" i="30" s="1"/>
  <c r="G23" i="29" l="1"/>
  <c r="G23" i="21"/>
  <c r="D4" i="30" l="1"/>
  <c r="C16" i="30"/>
  <c r="D5" i="30"/>
  <c r="D17" i="30" l="1"/>
</calcChain>
</file>

<file path=xl/sharedStrings.xml><?xml version="1.0" encoding="utf-8"?>
<sst xmlns="http://schemas.openxmlformats.org/spreadsheetml/2006/main" count="1110" uniqueCount="129">
  <si>
    <t>META</t>
  </si>
  <si>
    <t>LLEGADA INSTALACION</t>
  </si>
  <si>
    <t>INDICADORES</t>
  </si>
  <si>
    <t>Lunes</t>
  </si>
  <si>
    <t xml:space="preserve"> Martes</t>
  </si>
  <si>
    <t>Miércoles</t>
  </si>
  <si>
    <t xml:space="preserve">Jueves </t>
  </si>
  <si>
    <t xml:space="preserve">Viernes </t>
  </si>
  <si>
    <t>Promedio semana</t>
  </si>
  <si>
    <t>FECHA</t>
  </si>
  <si>
    <t>Llegada a instalación</t>
  </si>
  <si>
    <t>Columna2</t>
  </si>
  <si>
    <t>Columna3</t>
  </si>
  <si>
    <t>Columna1</t>
  </si>
  <si>
    <t>Columna22</t>
  </si>
  <si>
    <t>L</t>
  </si>
  <si>
    <t>M</t>
  </si>
  <si>
    <t>J</t>
  </si>
  <si>
    <t>V</t>
  </si>
  <si>
    <t>Almuerzo</t>
  </si>
  <si>
    <t>SALIDA INSTALACION</t>
  </si>
  <si>
    <t>ALMUERZO</t>
  </si>
  <si>
    <t>Tiempo disponible PM</t>
  </si>
  <si>
    <t>Tiempo disponible AM</t>
  </si>
  <si>
    <t>Tiempo efectivo trabajo</t>
  </si>
  <si>
    <t>Lu</t>
  </si>
  <si>
    <t>MA</t>
  </si>
  <si>
    <t>MI</t>
  </si>
  <si>
    <t>JU</t>
  </si>
  <si>
    <t>Dias</t>
  </si>
  <si>
    <t>1. Llegada a instalación</t>
  </si>
  <si>
    <t>2. Salida de instalación</t>
  </si>
  <si>
    <t>3. Inicio de actividades AM</t>
  </si>
  <si>
    <t>4. Término de actividades AM</t>
  </si>
  <si>
    <t xml:space="preserve">Traslado a postura </t>
  </si>
  <si>
    <t xml:space="preserve">Tiempo en instalación </t>
  </si>
  <si>
    <t>Comentarios</t>
  </si>
  <si>
    <t>LU</t>
  </si>
  <si>
    <t>VI</t>
  </si>
  <si>
    <t>Dia</t>
  </si>
  <si>
    <t>PROM. (Lu-Ju)</t>
  </si>
  <si>
    <t>Cumplimiento</t>
  </si>
  <si>
    <t>INICIO ACT.     AM</t>
  </si>
  <si>
    <t>TERMINO ACT. AM</t>
  </si>
  <si>
    <t>INICIO ACTIVIDADES PM</t>
  </si>
  <si>
    <t>TERMINO ACTIVIDADES PM</t>
  </si>
  <si>
    <t>5. Almuerzo</t>
  </si>
  <si>
    <t>6. Inicio Actividades PM</t>
  </si>
  <si>
    <t>7. término Actividades PM</t>
  </si>
  <si>
    <t>Tte 6</t>
  </si>
  <si>
    <t xml:space="preserve">VI </t>
  </si>
  <si>
    <t>Promedio</t>
  </si>
  <si>
    <t>Meta</t>
  </si>
  <si>
    <t>Traslado Colación</t>
  </si>
  <si>
    <t>TTE 6 ACARREO</t>
  </si>
  <si>
    <t>MISCELANEO SUB 5</t>
  </si>
  <si>
    <t>MISCELANEO SUB 6</t>
  </si>
  <si>
    <t>PIPA NORTE</t>
  </si>
  <si>
    <t>DIABLO REGIMIENTO</t>
  </si>
  <si>
    <t>AGUA ACIDA</t>
  </si>
  <si>
    <t>VENTILACIÓN LOCAL</t>
  </si>
  <si>
    <t>PUERTAS MINA</t>
  </si>
  <si>
    <t>AIRE ACONDICIONADO</t>
  </si>
  <si>
    <t xml:space="preserve">COLECTORES DE POLVO </t>
  </si>
  <si>
    <t>TALLER LA JUNTA</t>
  </si>
  <si>
    <t>MISCELANEO TTE 7</t>
  </si>
  <si>
    <t>CHANCADO COLON</t>
  </si>
  <si>
    <t>TABLERO DISCIPLINA TURNO A MINA</t>
  </si>
  <si>
    <t>Llegada instalación</t>
  </si>
  <si>
    <t>Salida instalación</t>
  </si>
  <si>
    <t>Llegada a postura</t>
  </si>
  <si>
    <t>Abandono postura</t>
  </si>
  <si>
    <t>Termino Turno</t>
  </si>
  <si>
    <t>TABLERO DISCIPLINA TURNO A SUPERFICIE</t>
  </si>
  <si>
    <t>TABLERO DISCIPLINA TURNO B MINA</t>
  </si>
  <si>
    <t>Meta Aguas acidas</t>
  </si>
  <si>
    <t>Meta taller la junta</t>
  </si>
  <si>
    <t>SUB 5</t>
  </si>
  <si>
    <t xml:space="preserve">TTE 6 </t>
  </si>
  <si>
    <t>SUB 6</t>
  </si>
  <si>
    <t>DIABLO</t>
  </si>
  <si>
    <t>ACCU</t>
  </si>
  <si>
    <t>VENTILACIÓN</t>
  </si>
  <si>
    <t>PUERTA</t>
  </si>
  <si>
    <t xml:space="preserve">AIRE </t>
  </si>
  <si>
    <t>COLECTORES</t>
  </si>
  <si>
    <t>LA JUNTA</t>
  </si>
  <si>
    <t>TTE 7</t>
  </si>
  <si>
    <t>CH COLON</t>
  </si>
  <si>
    <t>PIPA N</t>
  </si>
  <si>
    <t>Turno sin novedad.</t>
  </si>
  <si>
    <t>Fin del turno sin novedad</t>
  </si>
  <si>
    <t>SALVATAJE</t>
  </si>
  <si>
    <t>Limpieza de bomba vogt</t>
  </si>
  <si>
    <t>SIN NOVEDAD</t>
  </si>
  <si>
    <t>Tte sub 5</t>
  </si>
  <si>
    <t>Tte sub 6</t>
  </si>
  <si>
    <t>D.R</t>
  </si>
  <si>
    <t>Tte 7</t>
  </si>
  <si>
    <t xml:space="preserve">CH Colon </t>
  </si>
  <si>
    <t>La junta</t>
  </si>
  <si>
    <t>,</t>
  </si>
  <si>
    <t>Días</t>
  </si>
  <si>
    <t>A</t>
  </si>
  <si>
    <t>B</t>
  </si>
  <si>
    <t>TURNO</t>
  </si>
  <si>
    <t>DISCIPLINA OPERACIONAL   MIES</t>
  </si>
  <si>
    <t>PROMEDIO</t>
  </si>
  <si>
    <t>C</t>
  </si>
  <si>
    <t>(SMN)  TTE 7</t>
  </si>
  <si>
    <t>Horas</t>
  </si>
  <si>
    <t>Tpo. Ini turno</t>
  </si>
  <si>
    <t>Tpo. Fin turno</t>
  </si>
  <si>
    <t>Promedio Dia</t>
  </si>
  <si>
    <t>(SMN)  TTE SUB 6</t>
  </si>
  <si>
    <t>(SMC)  TTE SUB 5 ESM.</t>
  </si>
  <si>
    <t>(SMC)  TTE 6 ACARREO ESM.</t>
  </si>
  <si>
    <t>(SMS)  DIABLO RGIMIENTO</t>
  </si>
  <si>
    <t>(SMS)  PACIFICO SUPERIOR</t>
  </si>
  <si>
    <t>(STC)  CHANC. PRIM.</t>
  </si>
  <si>
    <t>COLECTORES DE POLVO</t>
  </si>
  <si>
    <t>ACM  (TURNO 1)</t>
  </si>
  <si>
    <t>TOTAL</t>
  </si>
  <si>
    <t>Cumpli. Global Limpieza Brocales</t>
  </si>
  <si>
    <t># de brocales</t>
  </si>
  <si>
    <t># Brocales Semana</t>
  </si>
  <si>
    <t>Cumpli. Global Limpieza Brocales Sub 6</t>
  </si>
  <si>
    <t>Cumpli. Global Limpieza Brocales Sub 5</t>
  </si>
  <si>
    <t>Programación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</si>
</sst>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9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0.8"/>
      <color rgb="FF000000"/>
      <name val="Arial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color theme="1"/>
      <name val="Calibri"/>
      <family val="2"/>
    </font>
    <font>
      <sz val="10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9" fontId="13" fillId="0" borderId="0" applyFont="0" applyFill="0" applyBorder="0" applyAlignment="0" applyProtection="0"/>
    <xf numFmtId="0" fontId="2" fillId="0" borderId="0"/>
    <xf numFmtId="0" fontId="13" fillId="0" borderId="0"/>
    <xf numFmtId="0" fontId="1" fillId="0" borderId="0"/>
    <xf numFmtId="9" fontId="1" fillId="0" borderId="0" applyFont="0" applyFill="0" applyBorder="0" applyAlignment="0" applyProtection="0"/>
  </cellStyleXfs>
  <cellXfs count="217">
    <xf numFmtId="0" fontId="0" fillId="0" borderId="0" xfId="0"/>
    <xf numFmtId="0" fontId="0" fillId="0" borderId="0" xfId="0" applyBorder="1"/>
    <xf numFmtId="0" fontId="0" fillId="0" borderId="0" xfId="0" applyFont="1"/>
    <xf numFmtId="2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2" borderId="4" xfId="0" applyFont="1" applyFill="1" applyBorder="1" applyAlignment="1">
      <alignment vertical="center" wrapText="1"/>
    </xf>
    <xf numFmtId="20" fontId="0" fillId="0" borderId="0" xfId="0" applyNumberForma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2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2" borderId="7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0" fillId="5" borderId="0" xfId="0" applyFill="1"/>
    <xf numFmtId="20" fontId="0" fillId="5" borderId="3" xfId="0" applyNumberFormat="1" applyFill="1" applyBorder="1" applyAlignment="1">
      <alignment horizontal="center"/>
    </xf>
    <xf numFmtId="20" fontId="0" fillId="5" borderId="3" xfId="0" applyNumberFormat="1" applyFill="1" applyBorder="1" applyAlignment="1">
      <alignment horizontal="left"/>
    </xf>
    <xf numFmtId="20" fontId="0" fillId="5" borderId="3" xfId="0" applyNumberFormat="1" applyFont="1" applyFill="1" applyBorder="1" applyAlignment="1">
      <alignment horizontal="center"/>
    </xf>
    <xf numFmtId="20" fontId="0" fillId="3" borderId="3" xfId="0" applyNumberFormat="1" applyFill="1" applyBorder="1" applyAlignment="1">
      <alignment horizontal="center"/>
    </xf>
    <xf numFmtId="0" fontId="3" fillId="2" borderId="9" xfId="0" applyFont="1" applyFill="1" applyBorder="1" applyAlignment="1">
      <alignment vertical="center"/>
    </xf>
    <xf numFmtId="0" fontId="0" fillId="5" borderId="0" xfId="0" applyFill="1" applyBorder="1"/>
    <xf numFmtId="20" fontId="10" fillId="0" borderId="0" xfId="0" applyNumberFormat="1" applyFont="1" applyBorder="1"/>
    <xf numFmtId="20" fontId="9" fillId="6" borderId="3" xfId="0" applyNumberFormat="1" applyFont="1" applyFill="1" applyBorder="1" applyAlignment="1">
      <alignment horizontal="center"/>
    </xf>
    <xf numFmtId="0" fontId="9" fillId="0" borderId="0" xfId="0" applyFont="1"/>
    <xf numFmtId="20" fontId="9" fillId="0" borderId="0" xfId="0" applyNumberFormat="1" applyFont="1"/>
    <xf numFmtId="20" fontId="0" fillId="0" borderId="8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/>
    </xf>
    <xf numFmtId="20" fontId="10" fillId="0" borderId="1" xfId="0" applyNumberFormat="1" applyFont="1" applyBorder="1" applyAlignment="1">
      <alignment horizontal="center"/>
    </xf>
    <xf numFmtId="20" fontId="12" fillId="0" borderId="1" xfId="0" applyNumberFormat="1" applyFont="1" applyBorder="1" applyAlignment="1">
      <alignment horizontal="center" wrapText="1"/>
    </xf>
    <xf numFmtId="20" fontId="11" fillId="5" borderId="1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20" fontId="0" fillId="5" borderId="4" xfId="0" applyNumberFormat="1" applyFill="1" applyBorder="1" applyAlignment="1">
      <alignment horizontal="center"/>
    </xf>
    <xf numFmtId="9" fontId="9" fillId="6" borderId="3" xfId="1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1" xfId="0" applyNumberFormat="1" applyFont="1" applyBorder="1" applyAlignment="1">
      <alignment horizontal="center"/>
    </xf>
    <xf numFmtId="20" fontId="12" fillId="0" borderId="1" xfId="0" applyNumberFormat="1" applyFont="1" applyBorder="1" applyAlignment="1">
      <alignment horizontal="left" wrapText="1"/>
    </xf>
    <xf numFmtId="20" fontId="12" fillId="0" borderId="8" xfId="0" applyNumberFormat="1" applyFont="1" applyBorder="1" applyAlignment="1">
      <alignment horizontal="left"/>
    </xf>
    <xf numFmtId="20" fontId="12" fillId="0" borderId="6" xfId="0" applyNumberFormat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20" fontId="12" fillId="0" borderId="6" xfId="0" applyNumberFormat="1" applyFont="1" applyBorder="1" applyAlignment="1">
      <alignment horizontal="center"/>
    </xf>
    <xf numFmtId="20" fontId="12" fillId="0" borderId="8" xfId="0" applyNumberFormat="1" applyFont="1" applyBorder="1" applyAlignment="1">
      <alignment horizontal="left"/>
    </xf>
    <xf numFmtId="20" fontId="9" fillId="5" borderId="3" xfId="0" applyNumberFormat="1" applyFont="1" applyFill="1" applyBorder="1" applyAlignment="1">
      <alignment horizontal="center"/>
    </xf>
    <xf numFmtId="9" fontId="0" fillId="0" borderId="0" xfId="0" applyNumberFormat="1"/>
    <xf numFmtId="20" fontId="0" fillId="0" borderId="1" xfId="0" applyNumberFormat="1" applyBorder="1" applyAlignment="1">
      <alignment horizontal="center"/>
    </xf>
    <xf numFmtId="20" fontId="12" fillId="0" borderId="6" xfId="0" applyNumberFormat="1" applyFon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0" fontId="4" fillId="4" borderId="14" xfId="0" applyFont="1" applyFill="1" applyBorder="1" applyAlignment="1">
      <alignment horizontal="center" vertical="center" wrapText="1" readingOrder="1"/>
    </xf>
    <xf numFmtId="0" fontId="5" fillId="0" borderId="15" xfId="0" applyFont="1" applyBorder="1" applyAlignment="1">
      <alignment horizontal="left" wrapText="1" readingOrder="1"/>
    </xf>
    <xf numFmtId="20" fontId="4" fillId="0" borderId="15" xfId="0" applyNumberFormat="1" applyFont="1" applyBorder="1" applyAlignment="1">
      <alignment horizontal="center" wrapText="1" readingOrder="1"/>
    </xf>
    <xf numFmtId="20" fontId="6" fillId="0" borderId="15" xfId="0" applyNumberFormat="1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wrapText="1" readingOrder="1"/>
    </xf>
    <xf numFmtId="20" fontId="4" fillId="0" borderId="16" xfId="0" applyNumberFormat="1" applyFont="1" applyBorder="1" applyAlignment="1">
      <alignment horizontal="center" wrapText="1" readingOrder="1"/>
    </xf>
    <xf numFmtId="20" fontId="6" fillId="0" borderId="16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left" wrapText="1" readingOrder="1"/>
    </xf>
    <xf numFmtId="20" fontId="4" fillId="0" borderId="17" xfId="0" applyNumberFormat="1" applyFont="1" applyBorder="1" applyAlignment="1">
      <alignment horizontal="center" wrapText="1" readingOrder="1"/>
    </xf>
    <xf numFmtId="20" fontId="6" fillId="0" borderId="17" xfId="0" applyNumberFormat="1" applyFont="1" applyBorder="1" applyAlignment="1">
      <alignment horizontal="center" vertical="center" wrapText="1"/>
    </xf>
    <xf numFmtId="9" fontId="0" fillId="3" borderId="0" xfId="1" applyFont="1" applyFill="1"/>
    <xf numFmtId="0" fontId="0" fillId="0" borderId="19" xfId="0" applyBorder="1"/>
    <xf numFmtId="20" fontId="0" fillId="0" borderId="21" xfId="0" applyNumberFormat="1" applyBorder="1"/>
    <xf numFmtId="0" fontId="0" fillId="0" borderId="18" xfId="0" applyBorder="1"/>
    <xf numFmtId="20" fontId="0" fillId="0" borderId="22" xfId="0" applyNumberFormat="1" applyBorder="1"/>
    <xf numFmtId="0" fontId="0" fillId="0" borderId="18" xfId="0" applyFill="1" applyBorder="1"/>
    <xf numFmtId="0" fontId="0" fillId="0" borderId="20" xfId="0" applyBorder="1"/>
    <xf numFmtId="20" fontId="0" fillId="0" borderId="23" xfId="0" applyNumberFormat="1" applyBorder="1"/>
    <xf numFmtId="19" fontId="15" fillId="0" borderId="0" xfId="0" applyNumberFormat="1" applyFont="1" applyAlignment="1"/>
    <xf numFmtId="0" fontId="0" fillId="0" borderId="0" xfId="0" applyFont="1" applyAlignment="1"/>
    <xf numFmtId="22" fontId="0" fillId="0" borderId="0" xfId="0" applyNumberFormat="1"/>
    <xf numFmtId="0" fontId="0" fillId="0" borderId="0" xfId="0" applyAlignment="1">
      <alignment wrapText="1"/>
    </xf>
    <xf numFmtId="20" fontId="12" fillId="0" borderId="1" xfId="0" applyNumberFormat="1" applyFont="1" applyBorder="1" applyAlignment="1">
      <alignment horizontal="left"/>
    </xf>
    <xf numFmtId="0" fontId="16" fillId="0" borderId="0" xfId="0" applyFont="1" applyAlignment="1">
      <alignment horizontal="left" vertical="center" indent="4" readingOrder="1"/>
    </xf>
    <xf numFmtId="0" fontId="17" fillId="0" borderId="0" xfId="0" applyFont="1" applyAlignment="1">
      <alignment horizontal="left" vertical="center" indent="4" readingOrder="1"/>
    </xf>
    <xf numFmtId="0" fontId="0" fillId="0" borderId="0" xfId="0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20" fillId="0" borderId="24" xfId="0" applyFont="1" applyBorder="1" applyAlignment="1">
      <alignment horizontal="left" vertical="center"/>
    </xf>
    <xf numFmtId="0" fontId="20" fillId="0" borderId="32" xfId="0" applyFont="1" applyBorder="1" applyAlignment="1">
      <alignment horizontal="left"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21" fillId="0" borderId="35" xfId="0" applyFont="1" applyBorder="1" applyAlignment="1">
      <alignment horizontal="left" vertical="center"/>
    </xf>
    <xf numFmtId="0" fontId="22" fillId="0" borderId="38" xfId="0" applyFont="1" applyBorder="1" applyAlignment="1">
      <alignment horizontal="right" vertical="center"/>
    </xf>
    <xf numFmtId="0" fontId="0" fillId="0" borderId="39" xfId="0" applyBorder="1" applyAlignment="1">
      <alignment vertical="center"/>
    </xf>
    <xf numFmtId="20" fontId="0" fillId="0" borderId="40" xfId="0" applyNumberFormat="1" applyBorder="1" applyAlignment="1">
      <alignment vertical="center"/>
    </xf>
    <xf numFmtId="20" fontId="0" fillId="0" borderId="41" xfId="0" applyNumberFormat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164" fontId="0" fillId="0" borderId="43" xfId="0" applyNumberFormat="1" applyBorder="1" applyAlignment="1">
      <alignment vertical="center"/>
    </xf>
    <xf numFmtId="164" fontId="0" fillId="0" borderId="44" xfId="0" applyNumberFormat="1" applyBorder="1" applyAlignment="1">
      <alignment vertical="center"/>
    </xf>
    <xf numFmtId="164" fontId="0" fillId="0" borderId="45" xfId="0" applyNumberFormat="1" applyBorder="1" applyAlignment="1">
      <alignment vertical="center"/>
    </xf>
    <xf numFmtId="164" fontId="0" fillId="0" borderId="46" xfId="0" applyNumberFormat="1" applyBorder="1" applyAlignment="1">
      <alignment vertical="center"/>
    </xf>
    <xf numFmtId="164" fontId="0" fillId="0" borderId="40" xfId="0" applyNumberFormat="1" applyBorder="1" applyAlignment="1">
      <alignment vertical="center"/>
    </xf>
    <xf numFmtId="164" fontId="0" fillId="0" borderId="47" xfId="0" applyNumberFormat="1" applyBorder="1" applyAlignment="1">
      <alignment vertical="center"/>
    </xf>
    <xf numFmtId="0" fontId="22" fillId="0" borderId="48" xfId="0" applyFont="1" applyBorder="1" applyAlignment="1">
      <alignment horizontal="right"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164" fontId="0" fillId="0" borderId="53" xfId="0" applyNumberFormat="1" applyBorder="1" applyAlignment="1">
      <alignment vertical="center"/>
    </xf>
    <xf numFmtId="164" fontId="0" fillId="0" borderId="50" xfId="0" applyNumberFormat="1" applyBorder="1" applyAlignment="1">
      <alignment vertical="center"/>
    </xf>
    <xf numFmtId="164" fontId="0" fillId="0" borderId="54" xfId="0" applyNumberFormat="1" applyBorder="1" applyAlignment="1">
      <alignment vertical="center"/>
    </xf>
    <xf numFmtId="0" fontId="0" fillId="5" borderId="39" xfId="0" applyFill="1" applyBorder="1" applyAlignment="1">
      <alignment vertical="center"/>
    </xf>
    <xf numFmtId="20" fontId="0" fillId="5" borderId="40" xfId="0" applyNumberFormat="1" applyFill="1" applyBorder="1" applyAlignment="1">
      <alignment vertical="center"/>
    </xf>
    <xf numFmtId="20" fontId="0" fillId="5" borderId="41" xfId="0" applyNumberFormat="1" applyFill="1" applyBorder="1" applyAlignment="1">
      <alignment vertical="center"/>
    </xf>
    <xf numFmtId="0" fontId="0" fillId="5" borderId="40" xfId="0" applyFill="1" applyBorder="1" applyAlignment="1">
      <alignment vertical="center"/>
    </xf>
    <xf numFmtId="0" fontId="0" fillId="5" borderId="41" xfId="0" applyFill="1" applyBorder="1" applyAlignment="1">
      <alignment vertical="center"/>
    </xf>
    <xf numFmtId="0" fontId="0" fillId="5" borderId="42" xfId="0" applyFill="1" applyBorder="1" applyAlignment="1">
      <alignment vertical="center"/>
    </xf>
    <xf numFmtId="164" fontId="0" fillId="5" borderId="43" xfId="0" applyNumberFormat="1" applyFill="1" applyBorder="1" applyAlignment="1">
      <alignment vertical="center"/>
    </xf>
    <xf numFmtId="164" fontId="0" fillId="5" borderId="44" xfId="0" applyNumberForma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0" fontId="0" fillId="5" borderId="49" xfId="0" applyFill="1" applyBorder="1" applyAlignment="1">
      <alignment vertical="center"/>
    </xf>
    <xf numFmtId="20" fontId="0" fillId="5" borderId="50" xfId="0" applyNumberFormat="1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5" borderId="51" xfId="0" applyFill="1" applyBorder="1" applyAlignment="1">
      <alignment vertical="center"/>
    </xf>
    <xf numFmtId="0" fontId="0" fillId="5" borderId="52" xfId="0" applyFill="1" applyBorder="1" applyAlignment="1">
      <alignment vertical="center"/>
    </xf>
    <xf numFmtId="164" fontId="0" fillId="5" borderId="53" xfId="0" applyNumberFormat="1" applyFill="1" applyBorder="1" applyAlignment="1">
      <alignment vertical="center"/>
    </xf>
    <xf numFmtId="164" fontId="0" fillId="5" borderId="50" xfId="0" applyNumberFormat="1" applyFill="1" applyBorder="1" applyAlignment="1">
      <alignment vertical="center"/>
    </xf>
    <xf numFmtId="0" fontId="22" fillId="0" borderId="55" xfId="0" applyFont="1" applyBorder="1" applyAlignment="1">
      <alignment horizontal="right" vertical="center"/>
    </xf>
    <xf numFmtId="0" fontId="0" fillId="0" borderId="56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59" xfId="0" applyBorder="1" applyAlignment="1">
      <alignment vertical="center"/>
    </xf>
    <xf numFmtId="20" fontId="0" fillId="0" borderId="50" xfId="0" applyNumberFormat="1" applyBorder="1" applyAlignment="1">
      <alignment vertical="center"/>
    </xf>
    <xf numFmtId="164" fontId="0" fillId="0" borderId="60" xfId="0" applyNumberFormat="1" applyBorder="1" applyAlignment="1">
      <alignment vertical="center"/>
    </xf>
    <xf numFmtId="164" fontId="0" fillId="0" borderId="41" xfId="0" applyNumberFormat="1" applyBorder="1" applyAlignment="1">
      <alignment vertical="center"/>
    </xf>
    <xf numFmtId="164" fontId="0" fillId="0" borderId="51" xfId="0" applyNumberFormat="1" applyBorder="1" applyAlignment="1">
      <alignment vertical="center"/>
    </xf>
    <xf numFmtId="20" fontId="0" fillId="0" borderId="44" xfId="0" applyNumberFormat="1" applyBorder="1" applyAlignment="1">
      <alignment vertical="center"/>
    </xf>
    <xf numFmtId="0" fontId="19" fillId="5" borderId="25" xfId="0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0" fillId="5" borderId="56" xfId="0" applyFill="1" applyBorder="1" applyAlignment="1">
      <alignment vertical="center"/>
    </xf>
    <xf numFmtId="164" fontId="0" fillId="5" borderId="61" xfId="0" applyNumberFormat="1" applyFill="1" applyBorder="1" applyAlignment="1">
      <alignment vertical="center"/>
    </xf>
    <xf numFmtId="164" fontId="0" fillId="5" borderId="62" xfId="0" applyNumberFormat="1" applyFill="1" applyBorder="1" applyAlignment="1">
      <alignment vertical="center"/>
    </xf>
    <xf numFmtId="164" fontId="0" fillId="5" borderId="63" xfId="0" applyNumberFormat="1" applyFill="1" applyBorder="1" applyAlignment="1">
      <alignment vertical="center"/>
    </xf>
    <xf numFmtId="164" fontId="0" fillId="0" borderId="61" xfId="0" applyNumberFormat="1" applyBorder="1" applyAlignment="1">
      <alignment vertical="center"/>
    </xf>
    <xf numFmtId="164" fontId="0" fillId="0" borderId="62" xfId="0" applyNumberFormat="1" applyBorder="1" applyAlignment="1">
      <alignment vertical="center"/>
    </xf>
    <xf numFmtId="164" fontId="0" fillId="0" borderId="63" xfId="0" applyNumberFormat="1" applyBorder="1" applyAlignment="1">
      <alignment vertical="center"/>
    </xf>
    <xf numFmtId="0" fontId="2" fillId="0" borderId="25" xfId="2" applyBorder="1" applyAlignment="1">
      <alignment horizontal="center" vertical="center"/>
    </xf>
    <xf numFmtId="0" fontId="2" fillId="0" borderId="69" xfId="2" applyBorder="1" applyAlignment="1">
      <alignment horizontal="center" vertical="center"/>
    </xf>
    <xf numFmtId="0" fontId="2" fillId="0" borderId="0" xfId="2"/>
    <xf numFmtId="0" fontId="23" fillId="7" borderId="11" xfId="2" applyFont="1" applyFill="1" applyBorder="1" applyAlignment="1">
      <alignment vertical="center"/>
    </xf>
    <xf numFmtId="0" fontId="19" fillId="0" borderId="3" xfId="2" applyFont="1" applyBorder="1" applyAlignment="1">
      <alignment horizontal="center" vertical="center"/>
    </xf>
    <xf numFmtId="0" fontId="24" fillId="0" borderId="64" xfId="2" applyFont="1" applyBorder="1" applyAlignment="1">
      <alignment horizontal="left" vertical="center" wrapText="1"/>
    </xf>
    <xf numFmtId="0" fontId="24" fillId="0" borderId="68" xfId="2" applyFont="1" applyBorder="1" applyAlignment="1">
      <alignment horizontal="left" vertical="center" wrapText="1"/>
    </xf>
    <xf numFmtId="0" fontId="19" fillId="0" borderId="25" xfId="2" applyFont="1" applyBorder="1" applyAlignment="1">
      <alignment horizontal="center" vertical="center"/>
    </xf>
    <xf numFmtId="0" fontId="19" fillId="0" borderId="26" xfId="2" applyFont="1" applyBorder="1" applyAlignment="1">
      <alignment horizontal="center" vertical="center"/>
    </xf>
    <xf numFmtId="0" fontId="19" fillId="0" borderId="27" xfId="2" applyFont="1" applyBorder="1" applyAlignment="1">
      <alignment horizontal="center" vertical="center"/>
    </xf>
    <xf numFmtId="0" fontId="2" fillId="0" borderId="49" xfId="2" applyBorder="1" applyAlignment="1">
      <alignment vertical="center"/>
    </xf>
    <xf numFmtId="0" fontId="2" fillId="0" borderId="50" xfId="2" applyBorder="1" applyAlignment="1">
      <alignment vertical="center"/>
    </xf>
    <xf numFmtId="0" fontId="2" fillId="0" borderId="51" xfId="2" applyBorder="1" applyAlignment="1">
      <alignment vertical="center"/>
    </xf>
    <xf numFmtId="0" fontId="2" fillId="0" borderId="65" xfId="2" applyBorder="1" applyAlignment="1">
      <alignment vertical="center"/>
    </xf>
    <xf numFmtId="0" fontId="2" fillId="0" borderId="66" xfId="2" applyBorder="1" applyAlignment="1">
      <alignment vertical="center"/>
    </xf>
    <xf numFmtId="0" fontId="2" fillId="0" borderId="67" xfId="2" applyBorder="1" applyAlignment="1">
      <alignment vertical="center"/>
    </xf>
    <xf numFmtId="0" fontId="19" fillId="0" borderId="28" xfId="2" applyFont="1" applyBorder="1" applyAlignment="1">
      <alignment horizontal="center" vertical="center"/>
    </xf>
    <xf numFmtId="0" fontId="2" fillId="0" borderId="3" xfId="2" applyBorder="1" applyAlignment="1">
      <alignment horizontal="center" vertical="center"/>
    </xf>
    <xf numFmtId="0" fontId="19" fillId="3" borderId="32" xfId="2" applyFont="1" applyFill="1" applyBorder="1" applyAlignment="1">
      <alignment horizontal="center" vertical="center"/>
    </xf>
    <xf numFmtId="0" fontId="19" fillId="3" borderId="3" xfId="2" applyFont="1" applyFill="1" applyBorder="1" applyAlignment="1">
      <alignment horizontal="center" vertical="center"/>
    </xf>
    <xf numFmtId="20" fontId="0" fillId="5" borderId="44" xfId="0" applyNumberForma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9" fontId="9" fillId="6" borderId="3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center" vertical="center"/>
    </xf>
    <xf numFmtId="14" fontId="19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4" fontId="19" fillId="0" borderId="25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14" fontId="19" fillId="5" borderId="3" xfId="0" applyNumberFormat="1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14" fontId="19" fillId="5" borderId="25" xfId="0" applyNumberFormat="1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13" fillId="7" borderId="36" xfId="0" applyFont="1" applyFill="1" applyBorder="1" applyAlignment="1">
      <alignment horizontal="center" vertical="center"/>
    </xf>
    <xf numFmtId="0" fontId="13" fillId="7" borderId="37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2" fillId="7" borderId="11" xfId="2" applyFill="1" applyBorder="1" applyAlignment="1">
      <alignment horizontal="center" vertical="center"/>
    </xf>
    <xf numFmtId="0" fontId="2" fillId="7" borderId="12" xfId="2" applyFill="1" applyBorder="1" applyAlignment="1">
      <alignment horizontal="center" vertical="center"/>
    </xf>
    <xf numFmtId="0" fontId="2" fillId="7" borderId="13" xfId="2" applyFill="1" applyBorder="1" applyAlignment="1">
      <alignment horizontal="center" vertical="center"/>
    </xf>
    <xf numFmtId="14" fontId="19" fillId="0" borderId="3" xfId="2" applyNumberFormat="1" applyFont="1" applyBorder="1" applyAlignment="1">
      <alignment horizontal="center" vertical="center"/>
    </xf>
    <xf numFmtId="0" fontId="19" fillId="0" borderId="3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26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24" xfId="2" applyFont="1" applyBorder="1" applyAlignment="1">
      <alignment horizontal="center" vertical="center"/>
    </xf>
    <xf numFmtId="0" fontId="19" fillId="0" borderId="32" xfId="2" applyFont="1" applyBorder="1" applyAlignment="1">
      <alignment horizontal="center" vertic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</cellXfs>
  <cellStyles count="6">
    <cellStyle name="Normal" xfId="0" builtinId="0"/>
    <cellStyle name="Normal 2" xfId="3" xr:uid="{00000000-0005-0000-0000-000001000000}"/>
    <cellStyle name="Normal 3" xfId="2" xr:uid="{00000000-0005-0000-0000-000002000000}"/>
    <cellStyle name="Normal 4" xfId="4" xr:uid="{00000000-0005-0000-0000-000003000000}"/>
    <cellStyle name="Porcentaje" xfId="1" builtinId="5"/>
    <cellStyle name="Porcentaje 2" xfId="5" xr:uid="{00000000-0005-0000-0000-000005000000}"/>
  </cellStyles>
  <dxfs count="204"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6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</c:v>
                </c:pt>
                <c:pt idx="1">
                  <c:v>0.33749999999999997</c:v>
                </c:pt>
                <c:pt idx="2">
                  <c:v>0.33958333333333335</c:v>
                </c:pt>
                <c:pt idx="3">
                  <c:v>0.33749999999999997</c:v>
                </c:pt>
                <c:pt idx="4">
                  <c:v>0.33611111111111108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6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0</c:v>
                </c:pt>
                <c:pt idx="1">
                  <c:v>2.5000000000000022E-2</c:v>
                </c:pt>
                <c:pt idx="2">
                  <c:v>2.1527777777777757E-2</c:v>
                </c:pt>
                <c:pt idx="3">
                  <c:v>2.6388888888888906E-2</c:v>
                </c:pt>
                <c:pt idx="4">
                  <c:v>2.5000000000000022E-2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6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0</c:v>
                </c:pt>
                <c:pt idx="1">
                  <c:v>1.5277777777777779E-2</c:v>
                </c:pt>
                <c:pt idx="2">
                  <c:v>1.3888888888888895E-2</c:v>
                </c:pt>
                <c:pt idx="3">
                  <c:v>1.6666666666666663E-2</c:v>
                </c:pt>
                <c:pt idx="4">
                  <c:v>1.9444444444444431E-2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6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'!$S$3:$S$7</c15:sqref>
                  </c15:fullRef>
                </c:ext>
              </c:extLst>
              <c:f>'TTE 6 '!$S$3:$S$7</c:f>
              <c:numCache>
                <c:formatCode>h:mm</c:formatCode>
                <c:ptCount val="5"/>
                <c:pt idx="0">
                  <c:v>0</c:v>
                </c:pt>
                <c:pt idx="1">
                  <c:v>0.21388888888888891</c:v>
                </c:pt>
                <c:pt idx="2">
                  <c:v>0.23888888888888882</c:v>
                </c:pt>
                <c:pt idx="3">
                  <c:v>0.23263888888888895</c:v>
                </c:pt>
                <c:pt idx="4">
                  <c:v>0.23055555555555551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6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0</c:v>
                </c:pt>
                <c:pt idx="1">
                  <c:v>5.5555555555555358E-3</c:v>
                </c:pt>
                <c:pt idx="2">
                  <c:v>5.5555555555556468E-3</c:v>
                </c:pt>
                <c:pt idx="3">
                  <c:v>6.2499999999999778E-3</c:v>
                </c:pt>
                <c:pt idx="4">
                  <c:v>1.1805555555555625E-2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0</c:v>
                </c:pt>
                <c:pt idx="1">
                  <c:v>2.430555555555558E-2</c:v>
                </c:pt>
                <c:pt idx="2">
                  <c:v>2.9861111111111116E-2</c:v>
                </c:pt>
                <c:pt idx="3">
                  <c:v>2.9861111111111116E-2</c:v>
                </c:pt>
                <c:pt idx="4">
                  <c:v>2.2916666666666696E-2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'!$V$3:$V$7</c15:sqref>
                  </c15:fullRef>
                </c:ext>
              </c:extLst>
              <c:f>'TTE 6 '!$V$3:$V$7</c:f>
              <c:numCache>
                <c:formatCode>h:mm</c:formatCode>
                <c:ptCount val="5"/>
                <c:pt idx="0">
                  <c:v>0</c:v>
                </c:pt>
                <c:pt idx="1">
                  <c:v>3.8194444444444198E-2</c:v>
                </c:pt>
                <c:pt idx="2">
                  <c:v>1.0416666666666408E-2</c:v>
                </c:pt>
                <c:pt idx="3">
                  <c:v>1.0416666666666408E-2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4024"/>
        <c:axId val="445916376"/>
      </c:barChart>
      <c:lineChart>
        <c:grouping val="standard"/>
        <c:varyColors val="0"/>
        <c:ser>
          <c:idx val="5"/>
          <c:order val="7"/>
          <c:tx>
            <c:strRef>
              <c:f>'TTE 6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6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6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6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6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6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7552"/>
        <c:axId val="445914416"/>
      </c:lineChart>
      <c:catAx>
        <c:axId val="44591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6376"/>
        <c:crossesAt val="0"/>
        <c:auto val="1"/>
        <c:lblAlgn val="ctr"/>
        <c:lblOffset val="60"/>
        <c:noMultiLvlLbl val="0"/>
      </c:catAx>
      <c:valAx>
        <c:axId val="4459163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4024"/>
        <c:crosses val="autoZero"/>
        <c:crossBetween val="between"/>
        <c:majorUnit val="4.1600000000000012E-2"/>
        <c:minorUnit val="8.3300000000000023E-3"/>
      </c:valAx>
      <c:valAx>
        <c:axId val="4459144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552"/>
        <c:crosses val="max"/>
        <c:crossBetween val="between"/>
        <c:majorUnit val="4.1600000000000012E-2"/>
      </c:valAx>
      <c:catAx>
        <c:axId val="44591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44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8.2674658492563419E-2"/>
          <c:w val="0.63174794686316249"/>
          <c:h val="0.813860693426240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AC!$P$3:$P$7</c15:sqref>
                  </c15:fullRef>
                </c:ext>
              </c:extLst>
              <c:f>AC!$P$3:$P$7</c:f>
              <c:numCache>
                <c:formatCode>h:mm</c:formatCode>
                <c:ptCount val="5"/>
                <c:pt idx="0">
                  <c:v>0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AC!$Q$3:$Q$7</c15:sqref>
                  </c15:fullRef>
                </c:ext>
              </c:extLst>
              <c:f>AC!$Q$3:$Q$7</c:f>
              <c:numCache>
                <c:formatCode>h:mm</c:formatCode>
                <c:ptCount val="5"/>
                <c:pt idx="0">
                  <c:v>0</c:v>
                </c:pt>
                <c:pt idx="1">
                  <c:v>2.0833333333333259E-2</c:v>
                </c:pt>
                <c:pt idx="2">
                  <c:v>2.0833333333333259E-2</c:v>
                </c:pt>
                <c:pt idx="3">
                  <c:v>2.0833333333333259E-2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AC!$R$3:$R$7</c15:sqref>
                  </c15:fullRef>
                </c:ext>
              </c:extLst>
              <c:f>AC!$R$3:$R$7</c:f>
              <c:numCache>
                <c:formatCode>h:mm</c:formatCode>
                <c:ptCount val="5"/>
                <c:pt idx="0">
                  <c:v>0</c:v>
                </c:pt>
                <c:pt idx="1">
                  <c:v>1.3194444444444509E-2</c:v>
                </c:pt>
                <c:pt idx="2">
                  <c:v>5.6944444444444464E-2</c:v>
                </c:pt>
                <c:pt idx="3">
                  <c:v>2.5694444444444464E-2</c:v>
                </c:pt>
                <c:pt idx="4">
                  <c:v>2.2916666666666696E-2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AC!$S$3:$S$7</c15:sqref>
                  </c15:fullRef>
                </c:ext>
              </c:extLst>
              <c:f>AC!$S$3:$S$7</c:f>
              <c:numCache>
                <c:formatCode>h:mm</c:formatCode>
                <c:ptCount val="5"/>
                <c:pt idx="0">
                  <c:v>0</c:v>
                </c:pt>
                <c:pt idx="1">
                  <c:v>0.13263888888888886</c:v>
                </c:pt>
                <c:pt idx="2">
                  <c:v>0.13055555555555554</c:v>
                </c:pt>
                <c:pt idx="3">
                  <c:v>0.14097222222222228</c:v>
                </c:pt>
                <c:pt idx="4">
                  <c:v>0.15069444444444446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AC!$T$3:$T$7</c15:sqref>
                  </c15:fullRef>
                </c:ext>
              </c:extLst>
              <c:f>AC!$T$3:$T$7</c:f>
              <c:numCache>
                <c:formatCode>h:mm</c:formatCode>
                <c:ptCount val="5"/>
                <c:pt idx="0">
                  <c:v>0</c:v>
                </c:pt>
                <c:pt idx="1">
                  <c:v>6.9444444444445308E-3</c:v>
                </c:pt>
                <c:pt idx="2">
                  <c:v>3.4722222222222099E-3</c:v>
                </c:pt>
                <c:pt idx="3">
                  <c:v>3.4722222222220989E-3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AC!$U$3:$U$7</c15:sqref>
                  </c15:fullRef>
                </c:ext>
              </c:extLst>
              <c:f>AC!$U$3:$U$7</c:f>
              <c:numCache>
                <c:formatCode>h:mm</c:formatCode>
                <c:ptCount val="5"/>
                <c:pt idx="0">
                  <c:v>0</c:v>
                </c:pt>
                <c:pt idx="1">
                  <c:v>2.9166666666666563E-2</c:v>
                </c:pt>
                <c:pt idx="2">
                  <c:v>2.4305555555555691E-2</c:v>
                </c:pt>
                <c:pt idx="3">
                  <c:v>2.7777777777777901E-2</c:v>
                </c:pt>
                <c:pt idx="4">
                  <c:v>3.6111111111111094E-2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AC!$V$3:$V$7</c15:sqref>
                  </c15:fullRef>
                </c:ext>
              </c:extLst>
              <c:f>AC!$V$3:$V$7</c:f>
              <c:numCache>
                <c:formatCode>h:mm</c:formatCode>
                <c:ptCount val="5"/>
                <c:pt idx="0">
                  <c:v>0</c:v>
                </c:pt>
                <c:pt idx="1">
                  <c:v>0.14097222222222228</c:v>
                </c:pt>
                <c:pt idx="2">
                  <c:v>9.9305555555555536E-2</c:v>
                </c:pt>
                <c:pt idx="3">
                  <c:v>0.12152777777777779</c:v>
                </c:pt>
                <c:pt idx="4">
                  <c:v>0.10138888888888886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0968"/>
        <c:axId val="666000576"/>
      </c:barChart>
      <c:lineChart>
        <c:grouping val="standard"/>
        <c:varyColors val="0"/>
        <c:ser>
          <c:idx val="5"/>
          <c:order val="7"/>
          <c:tx>
            <c:strRef>
              <c:f>AC!$W$2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AC!$W$3:$W$14</c15:sqref>
                  </c15:fullRef>
                </c:ext>
              </c:extLst>
              <c:f>AC!$W$3:$W$7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AC!$X$3:$X$14</c15:sqref>
                  </c15:fullRef>
                </c:ext>
              </c:extLst>
              <c:f>AC!$X$3:$X$7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AC!$Y$3:$Y$14</c15:sqref>
                  </c15:fullRef>
                </c:ext>
              </c:extLst>
              <c:f>AC!$Y$3:$Y$7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AC!$Z$3:$Z$14</c15:sqref>
                  </c15:fullRef>
                </c:ext>
              </c:extLst>
              <c:f>AC!$Z$3:$Z$7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AC!$AA$3:$AA$7</c15:sqref>
                  </c15:fullRef>
                </c:ext>
              </c:extLst>
              <c:f>AC!$AA$3:$AA$7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AC!$AB$3:$AB$14</c15:sqref>
                  </c15:fullRef>
                </c:ext>
              </c:extLst>
              <c:f>AC!$AB$3:$AB$7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AC!$AC$3:$AC$14</c15:sqref>
                  </c15:fullRef>
                </c:ext>
              </c:extLst>
              <c:f>AC!$AC$3:$AC$7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7312"/>
        <c:axId val="666002928"/>
      </c:lineChart>
      <c:catAx>
        <c:axId val="66600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576"/>
        <c:crossesAt val="0"/>
        <c:auto val="1"/>
        <c:lblAlgn val="ctr"/>
        <c:lblOffset val="60"/>
        <c:noMultiLvlLbl val="0"/>
      </c:catAx>
      <c:valAx>
        <c:axId val="66600057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968"/>
        <c:crosses val="autoZero"/>
        <c:crossBetween val="between"/>
        <c:majorUnit val="4.1600000000000012E-2"/>
        <c:minorUnit val="8.3300000000000023E-3"/>
      </c:valAx>
      <c:valAx>
        <c:axId val="6660029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7312"/>
        <c:crosses val="max"/>
        <c:crossBetween val="between"/>
        <c:majorUnit val="4.1600000000000012E-2"/>
      </c:valAx>
      <c:catAx>
        <c:axId val="6200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29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Colec!$P$2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Colec!$P$3:$P$7</c15:sqref>
                  </c15:fullRef>
                </c:ext>
              </c:extLst>
              <c:f>Colec!$P$3:$P$7</c:f>
              <c:numCache>
                <c:formatCode>h:mm</c:formatCode>
                <c:ptCount val="5"/>
                <c:pt idx="0">
                  <c:v>0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Colec!$Q$2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Colec!$Q$3:$Q$7</c15:sqref>
                  </c15:fullRef>
                </c:ext>
              </c:extLst>
              <c:f>Colec!$Q$3:$Q$7</c:f>
              <c:numCache>
                <c:formatCode>h:mm</c:formatCode>
                <c:ptCount val="5"/>
                <c:pt idx="0">
                  <c:v>0</c:v>
                </c:pt>
                <c:pt idx="1">
                  <c:v>2.0833333333333315E-2</c:v>
                </c:pt>
                <c:pt idx="2">
                  <c:v>2.430555555555558E-2</c:v>
                </c:pt>
                <c:pt idx="3">
                  <c:v>2.0833333333333315E-2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Colec!$R$2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Colec!$R$3:$R$7</c15:sqref>
                  </c15:fullRef>
                </c:ext>
              </c:extLst>
              <c:f>Colec!$R$3:$R$7</c:f>
              <c:numCache>
                <c:formatCode>h:mm</c:formatCode>
                <c:ptCount val="5"/>
                <c:pt idx="0">
                  <c:v>0</c:v>
                </c:pt>
                <c:pt idx="1">
                  <c:v>1.7361111111111105E-2</c:v>
                </c:pt>
                <c:pt idx="2">
                  <c:v>1.7361111111111105E-2</c:v>
                </c:pt>
                <c:pt idx="3">
                  <c:v>1.2500000000000067E-2</c:v>
                </c:pt>
                <c:pt idx="4">
                  <c:v>1.7361111111111105E-2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Colec!$S$2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Colec!$S$3:$S$7</c15:sqref>
                  </c15:fullRef>
                </c:ext>
              </c:extLst>
              <c:f>Colec!$S$3:$S$7</c:f>
              <c:numCache>
                <c:formatCode>h:mm</c:formatCode>
                <c:ptCount val="5"/>
                <c:pt idx="0">
                  <c:v>0</c:v>
                </c:pt>
                <c:pt idx="1">
                  <c:v>0.18402777777777779</c:v>
                </c:pt>
                <c:pt idx="2">
                  <c:v>0.15624999999999994</c:v>
                </c:pt>
                <c:pt idx="3">
                  <c:v>0.18194444444444441</c:v>
                </c:pt>
                <c:pt idx="4">
                  <c:v>0.18125000000000002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Colec!$T$2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Colec!$T$3:$T$7</c15:sqref>
                  </c15:fullRef>
                </c:ext>
              </c:extLst>
              <c:f>Colec!$T$3:$T$7</c:f>
              <c:numCache>
                <c:formatCode>h:mm</c:formatCode>
                <c:ptCount val="5"/>
                <c:pt idx="0">
                  <c:v>0</c:v>
                </c:pt>
                <c:pt idx="1">
                  <c:v>6.9444444444444198E-3</c:v>
                </c:pt>
                <c:pt idx="2">
                  <c:v>1.0416666666666741E-2</c:v>
                </c:pt>
                <c:pt idx="3">
                  <c:v>1.388888888888884E-2</c:v>
                </c:pt>
                <c:pt idx="4">
                  <c:v>9.7222222222221877E-3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Colec!$U$2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Colec!$U$3:$U$7</c15:sqref>
                  </c15:fullRef>
                </c:ext>
              </c:extLst>
              <c:f>Colec!$U$3:$U$7</c:f>
              <c:numCache>
                <c:formatCode>h:mm</c:formatCode>
                <c:ptCount val="5"/>
                <c:pt idx="0">
                  <c:v>0</c:v>
                </c:pt>
                <c:pt idx="1">
                  <c:v>2.777777777777779E-2</c:v>
                </c:pt>
                <c:pt idx="2">
                  <c:v>3.125E-2</c:v>
                </c:pt>
                <c:pt idx="3">
                  <c:v>3.125E-2</c:v>
                </c:pt>
                <c:pt idx="4">
                  <c:v>2.9166666666666674E-2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Colec!$V$2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Colec!$V$3:$V$7</c15:sqref>
                  </c15:fullRef>
                </c:ext>
              </c:extLst>
              <c:f>Colec!$V$3:$V$7</c:f>
              <c:numCache>
                <c:formatCode>h:mm</c:formatCode>
                <c:ptCount val="5"/>
                <c:pt idx="0">
                  <c:v>0</c:v>
                </c:pt>
                <c:pt idx="1">
                  <c:v>8.333333333333337E-2</c:v>
                </c:pt>
                <c:pt idx="2">
                  <c:v>0.10069444444444464</c:v>
                </c:pt>
                <c:pt idx="3">
                  <c:v>7.9861111111111382E-2</c:v>
                </c:pt>
                <c:pt idx="4">
                  <c:v>8.1944444444444708E-2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3584"/>
        <c:axId val="620016920"/>
      </c:barChart>
      <c:lineChart>
        <c:grouping val="standard"/>
        <c:varyColors val="0"/>
        <c:ser>
          <c:idx val="5"/>
          <c:order val="7"/>
          <c:tx>
            <c:strRef>
              <c:f>Colec!$W$2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Colec!$W$3:$W$14</c15:sqref>
                  </c15:fullRef>
                </c:ext>
              </c:extLst>
              <c:f>Colec!$W$3:$W$7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Colec!$X$2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Colec!$X$3:$X$14</c15:sqref>
                  </c15:fullRef>
                </c:ext>
              </c:extLst>
              <c:f>Colec!$X$3:$X$7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Colec!$Y$2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Colec!$Y$3:$Y$14</c15:sqref>
                  </c15:fullRef>
                </c:ext>
              </c:extLst>
              <c:f>Colec!$Y$3:$Y$7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Colec!$Z$2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Colec!$Z$3:$Z$14</c15:sqref>
                  </c15:fullRef>
                </c:ext>
              </c:extLst>
              <c:f>Colec!$Z$3:$Z$7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Colec!$AA$2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Colec!$AA$3:$AA$7</c15:sqref>
                  </c15:fullRef>
                </c:ext>
              </c:extLst>
              <c:f>Colec!$AA$3:$AA$7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Colec!$AB$2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Colec!$AB$3:$AB$14</c15:sqref>
                  </c15:fullRef>
                </c:ext>
              </c:extLst>
              <c:f>Colec!$AB$3:$AB$7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Colec!$AC$2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Colec!$AC$3:$AC$14</c15:sqref>
                  </c15:fullRef>
                </c:ext>
              </c:extLst>
              <c:f>Colec!$AC$3:$AC$7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2608"/>
        <c:axId val="620023192"/>
      </c:lineChart>
      <c:catAx>
        <c:axId val="6200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920"/>
        <c:crossesAt val="0"/>
        <c:auto val="1"/>
        <c:lblAlgn val="ctr"/>
        <c:lblOffset val="60"/>
        <c:noMultiLvlLbl val="0"/>
      </c:catAx>
      <c:valAx>
        <c:axId val="62001692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3584"/>
        <c:crosses val="autoZero"/>
        <c:crossBetween val="between"/>
        <c:majorUnit val="4.1600000000000012E-2"/>
        <c:minorUnit val="8.3300000000000023E-3"/>
      </c:valAx>
      <c:valAx>
        <c:axId val="620023192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608"/>
        <c:crosses val="max"/>
        <c:crossBetween val="between"/>
        <c:majorUnit val="4.1600000000000012E-2"/>
      </c:valAx>
      <c:catAx>
        <c:axId val="6200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2319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28846150660712E-2"/>
          <c:y val="6.5347393249379326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'LA JUNTA'!$P$2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JUNTA'!$P$3:$P$7</c15:sqref>
                  </c15:fullRef>
                </c:ext>
              </c:extLst>
              <c:f>'LA JUNTA'!$P$3:$P$7</c:f>
              <c:numCache>
                <c:formatCode>h:mm</c:formatCode>
                <c:ptCount val="5"/>
                <c:pt idx="0">
                  <c:v>0</c:v>
                </c:pt>
                <c:pt idx="1">
                  <c:v>0.31458333333333333</c:v>
                </c:pt>
                <c:pt idx="2">
                  <c:v>0.3125</c:v>
                </c:pt>
                <c:pt idx="3">
                  <c:v>0.3125</c:v>
                </c:pt>
                <c:pt idx="4">
                  <c:v>0.30555555555555552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'LA JUNTA'!$Q$2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JUNTA'!$Q$3:$Q$7</c15:sqref>
                  </c15:fullRef>
                </c:ext>
              </c:extLst>
              <c:f>'LA JUNTA'!$Q$3:$Q$7</c:f>
              <c:numCache>
                <c:formatCode>h:mm</c:formatCode>
                <c:ptCount val="5"/>
                <c:pt idx="0">
                  <c:v>0</c:v>
                </c:pt>
                <c:pt idx="1">
                  <c:v>8.3333333333333592E-3</c:v>
                </c:pt>
                <c:pt idx="2">
                  <c:v>1.3888888888888895E-2</c:v>
                </c:pt>
                <c:pt idx="3">
                  <c:v>6.9444444444444753E-3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'LA JUNTA'!$R$2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JUNTA'!$R$3:$R$7</c15:sqref>
                  </c15:fullRef>
                </c:ext>
              </c:extLst>
              <c:f>'LA JUNTA'!$R$3:$R$7</c:f>
              <c:numCache>
                <c:formatCode>h:mm</c:formatCode>
                <c:ptCount val="5"/>
                <c:pt idx="0">
                  <c:v>0</c:v>
                </c:pt>
                <c:pt idx="1">
                  <c:v>2.0833333333333315E-2</c:v>
                </c:pt>
                <c:pt idx="2">
                  <c:v>1.7361111111111105E-2</c:v>
                </c:pt>
                <c:pt idx="3">
                  <c:v>2.4305555555555525E-2</c:v>
                </c:pt>
                <c:pt idx="4">
                  <c:v>2.4305555555555525E-2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'LA JUNTA'!$S$2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JUNTA'!$S$3:$S$7</c15:sqref>
                  </c15:fullRef>
                </c:ext>
              </c:extLst>
              <c:f>'LA JUNTA'!$S$3:$S$7</c:f>
              <c:numCache>
                <c:formatCode>h:mm</c:formatCode>
                <c:ptCount val="5"/>
                <c:pt idx="0">
                  <c:v>0</c:v>
                </c:pt>
                <c:pt idx="1">
                  <c:v>0.15972222222222221</c:v>
                </c:pt>
                <c:pt idx="2">
                  <c:v>0.17847222222222225</c:v>
                </c:pt>
                <c:pt idx="3">
                  <c:v>0.15972222222222221</c:v>
                </c:pt>
                <c:pt idx="4">
                  <c:v>0.16319444444444448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'LA JUNTA'!$T$2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JUNTA'!$T$3:$T$7</c15:sqref>
                  </c15:fullRef>
                </c:ext>
              </c:extLst>
              <c:f>'LA JUNTA'!$T$3:$T$7</c:f>
              <c:numCache>
                <c:formatCode>h:mm</c:formatCode>
                <c:ptCount val="5"/>
                <c:pt idx="0">
                  <c:v>0</c:v>
                </c:pt>
                <c:pt idx="1">
                  <c:v>3.4722222222222099E-3</c:v>
                </c:pt>
                <c:pt idx="2">
                  <c:v>5.5555555555555358E-3</c:v>
                </c:pt>
                <c:pt idx="3">
                  <c:v>3.4722222222222099E-3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'LA JUNTA'!$U$2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JUNTA'!$U$3:$U$7</c15:sqref>
                  </c15:fullRef>
                </c:ext>
              </c:extLst>
              <c:f>'LA JUNTA'!$U$3:$U$7</c:f>
              <c:numCache>
                <c:formatCode>h:mm</c:formatCode>
                <c:ptCount val="5"/>
                <c:pt idx="0">
                  <c:v>0</c:v>
                </c:pt>
                <c:pt idx="1">
                  <c:v>2.2916666666666696E-2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'LA JUNTA'!$V$2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JUNTA'!$V$3:$V$7</c15:sqref>
                  </c15:fullRef>
                </c:ext>
              </c:extLst>
              <c:f>'LA JUNTA'!$V$3:$V$7</c:f>
              <c:numCache>
                <c:formatCode>h:mm</c:formatCode>
                <c:ptCount val="5"/>
                <c:pt idx="0">
                  <c:v>0</c:v>
                </c:pt>
                <c:pt idx="1">
                  <c:v>0.12986111111111109</c:v>
                </c:pt>
                <c:pt idx="2">
                  <c:v>0.10763888888888862</c:v>
                </c:pt>
                <c:pt idx="3">
                  <c:v>0.12847222222222199</c:v>
                </c:pt>
                <c:pt idx="4">
                  <c:v>0.12847222222222199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2800"/>
        <c:axId val="620016528"/>
      </c:barChart>
      <c:lineChart>
        <c:grouping val="standard"/>
        <c:varyColors val="0"/>
        <c:ser>
          <c:idx val="5"/>
          <c:order val="7"/>
          <c:tx>
            <c:strRef>
              <c:f>'LA JUNTA'!$W$2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JUNTA'!$W$3:$W$14</c15:sqref>
                  </c15:fullRef>
                </c:ext>
              </c:extLst>
              <c:f>'LA JUNTA'!$W$3:$W$7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'LA JUNTA'!$X$2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JUNTA'!$X$3:$X$14</c15:sqref>
                  </c15:fullRef>
                </c:ext>
              </c:extLst>
              <c:f>'LA JUNTA'!$X$3:$X$7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'LA JUNTA'!$Y$2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JUNTA'!$Y$3:$Y$14</c15:sqref>
                  </c15:fullRef>
                </c:ext>
              </c:extLst>
              <c:f>'LA JUNTA'!$Y$3:$Y$7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'LA JUNTA'!$Z$2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JUNTA'!$Z$3:$Z$14</c15:sqref>
                  </c15:fullRef>
                </c:ext>
              </c:extLst>
              <c:f>'LA JUNTA'!$Z$3:$Z$7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'LA JUNTA'!$AA$2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JUNTA'!$AA$3:$AA$7</c15:sqref>
                  </c15:fullRef>
                </c:ext>
              </c:extLst>
              <c:f>'LA JUNTA'!$AA$3:$AA$7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'LA JUNTA'!$AB$2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JUNTA'!$AB$3:$AB$14</c15:sqref>
                  </c15:fullRef>
                </c:ext>
              </c:extLst>
              <c:f>'LA JUNTA'!$AB$3:$AB$7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'LA JUNTA'!$AC$2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JUNTA'!$AC$3:$AC$14</c15:sqref>
                  </c15:fullRef>
                </c:ext>
              </c:extLst>
              <c:f>'LA JUNTA'!$AC$3:$AC$7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2408"/>
        <c:axId val="620014176"/>
      </c:lineChart>
      <c:catAx>
        <c:axId val="6200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528"/>
        <c:crossesAt val="0"/>
        <c:auto val="1"/>
        <c:lblAlgn val="ctr"/>
        <c:lblOffset val="60"/>
        <c:noMultiLvlLbl val="0"/>
      </c:catAx>
      <c:valAx>
        <c:axId val="62001652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800"/>
        <c:crosses val="autoZero"/>
        <c:crossBetween val="between"/>
        <c:majorUnit val="4.1600000000000012E-2"/>
        <c:minorUnit val="8.3300000000000023E-3"/>
      </c:valAx>
      <c:valAx>
        <c:axId val="62001417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408"/>
        <c:crosses val="max"/>
        <c:crossBetween val="between"/>
        <c:majorUnit val="4.1600000000000012E-2"/>
      </c:valAx>
      <c:catAx>
        <c:axId val="62002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17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7'!$P$2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7'!$P$3:$P$7</c15:sqref>
                  </c15:fullRef>
                </c:ext>
              </c:extLst>
              <c:f>'TTE 7'!$P$3:$P$7</c:f>
              <c:numCache>
                <c:formatCode>h:mm</c:formatCode>
                <c:ptCount val="5"/>
                <c:pt idx="0">
                  <c:v>0</c:v>
                </c:pt>
                <c:pt idx="1">
                  <c:v>0.67361111111111116</c:v>
                </c:pt>
                <c:pt idx="2">
                  <c:v>0.67708333333333337</c:v>
                </c:pt>
                <c:pt idx="3">
                  <c:v>0.67361111111111105</c:v>
                </c:pt>
                <c:pt idx="4">
                  <c:v>0.67361111111111105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7'!$Q$2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7'!$Q$3:$Q$7</c15:sqref>
                  </c15:fullRef>
                </c:ext>
              </c:extLst>
              <c:f>'TTE 7'!$Q$3:$Q$7</c:f>
              <c:numCache>
                <c:formatCode>h:mm</c:formatCode>
                <c:ptCount val="5"/>
                <c:pt idx="0">
                  <c:v>0</c:v>
                </c:pt>
                <c:pt idx="1">
                  <c:v>2.083333333333337E-2</c:v>
                </c:pt>
                <c:pt idx="2">
                  <c:v>1.388888888888884E-2</c:v>
                </c:pt>
                <c:pt idx="3">
                  <c:v>1.736111111111116E-2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7'!$R$2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7'!$R$3:$R$7</c15:sqref>
                  </c15:fullRef>
                </c:ext>
              </c:extLst>
              <c:f>'TTE 7'!$R$3:$R$7</c:f>
              <c:numCache>
                <c:formatCode>h:mm</c:formatCode>
                <c:ptCount val="5"/>
                <c:pt idx="0">
                  <c:v>0</c:v>
                </c:pt>
                <c:pt idx="1">
                  <c:v>1.7361111111110938E-2</c:v>
                </c:pt>
                <c:pt idx="2">
                  <c:v>1.9444444444444486E-2</c:v>
                </c:pt>
                <c:pt idx="3">
                  <c:v>1.736111111111116E-2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7'!$S$2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7'!$S$3:$S$7</c15:sqref>
                  </c15:fullRef>
                </c:ext>
              </c:extLst>
              <c:f>'TTE 7'!$S$3:$S$7</c:f>
              <c:numCache>
                <c:formatCode>h:mm</c:formatCode>
                <c:ptCount val="5"/>
                <c:pt idx="0">
                  <c:v>0</c:v>
                </c:pt>
                <c:pt idx="1">
                  <c:v>0.20486111111111116</c:v>
                </c:pt>
                <c:pt idx="2">
                  <c:v>0.2270833333333333</c:v>
                </c:pt>
                <c:pt idx="3">
                  <c:v>0.21875</c:v>
                </c:pt>
                <c:pt idx="4">
                  <c:v>0.22569444444444442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7'!$T$2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7'!$T$3:$T$7</c15:sqref>
                  </c15:fullRef>
                </c:ext>
              </c:extLst>
              <c:f>'TTE 7'!$T$3:$T$7</c:f>
              <c:numCache>
                <c:formatCode>h:mm</c:formatCode>
                <c:ptCount val="5"/>
                <c:pt idx="0">
                  <c:v>0</c:v>
                </c:pt>
                <c:pt idx="1">
                  <c:v>6.9444444444445308E-3</c:v>
                </c:pt>
                <c:pt idx="2">
                  <c:v>8.3333333333333037E-3</c:v>
                </c:pt>
                <c:pt idx="3">
                  <c:v>6.9444444444444198E-3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7'!$U$2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7'!$U$3:$U$7</c15:sqref>
                  </c15:fullRef>
                </c:ext>
              </c:extLst>
              <c:f>'TTE 7'!$U$3:$U$7</c:f>
              <c:numCache>
                <c:formatCode>h:mm</c:formatCode>
                <c:ptCount val="5"/>
                <c:pt idx="0">
                  <c:v>0</c:v>
                </c:pt>
                <c:pt idx="1">
                  <c:v>2.4305555555555469E-2</c:v>
                </c:pt>
                <c:pt idx="2">
                  <c:v>2.2916666666666696E-2</c:v>
                </c:pt>
                <c:pt idx="3">
                  <c:v>2.5694444444444464E-2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7'!$V$2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7'!$V$3:$V$7</c15:sqref>
                  </c15:fullRef>
                </c:ext>
              </c:extLst>
              <c:f>'TTE 7'!$V$3:$V$7</c:f>
              <c:numCache>
                <c:formatCode>h:mm</c:formatCode>
                <c:ptCount val="5"/>
                <c:pt idx="0">
                  <c:v>0</c:v>
                </c:pt>
                <c:pt idx="1">
                  <c:v>4.513888888888884E-2</c:v>
                </c:pt>
                <c:pt idx="2">
                  <c:v>2.4305555555555469E-2</c:v>
                </c:pt>
                <c:pt idx="3">
                  <c:v>3.3333333333332771E-2</c:v>
                </c:pt>
                <c:pt idx="4">
                  <c:v>2.4305555555555025E-2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1232"/>
        <c:axId val="620018096"/>
      </c:barChart>
      <c:lineChart>
        <c:grouping val="standard"/>
        <c:varyColors val="0"/>
        <c:ser>
          <c:idx val="5"/>
          <c:order val="7"/>
          <c:tx>
            <c:strRef>
              <c:f>'TTE 7'!$W$2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7'!$W$3:$W$14</c15:sqref>
                  </c15:fullRef>
                </c:ext>
              </c:extLst>
              <c:f>'TTE 7'!$W$3:$W$7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7'!$X$2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7'!$X$3:$X$14</c15:sqref>
                  </c15:fullRef>
                </c:ext>
              </c:extLst>
              <c:f>'TTE 7'!$X$3:$X$7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7'!$Y$2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7'!$Y$3:$Y$14</c15:sqref>
                  </c15:fullRef>
                </c:ext>
              </c:extLst>
              <c:f>'TTE 7'!$Y$3:$Y$7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7'!$Z$2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7'!$Z$3:$Z$14</c15:sqref>
                  </c15:fullRef>
                </c:ext>
              </c:extLst>
              <c:f>'TTE 7'!$Z$3:$Z$7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7'!$AA$2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7'!$AA$3:$AA$7</c15:sqref>
                  </c15:fullRef>
                </c:ext>
              </c:extLst>
              <c:f>'TTE 7'!$AA$3:$AA$7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7'!$AB$2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7'!$AB$3:$AB$14</c15:sqref>
                  </c15:fullRef>
                </c:ext>
              </c:extLst>
              <c:f>'TTE 7'!$AB$3:$AB$7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7'!$AC$2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7'!$AC$3:$AC$14</c15:sqref>
                  </c15:fullRef>
                </c:ext>
              </c:extLst>
              <c:f>'TTE 7'!$AC$3:$AC$7</c:f>
              <c:numCache>
                <c:formatCode>h:mm</c:formatCode>
                <c:ptCount val="5"/>
                <c:pt idx="0">
                  <c:v>0.97222222222222221</c:v>
                </c:pt>
                <c:pt idx="1">
                  <c:v>0.97222222222222221</c:v>
                </c:pt>
                <c:pt idx="2">
                  <c:v>0.97222222222222221</c:v>
                </c:pt>
                <c:pt idx="3">
                  <c:v>0.97222222222222221</c:v>
                </c:pt>
                <c:pt idx="4">
                  <c:v>0.97222222222222221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0840"/>
        <c:axId val="620014568"/>
      </c:lineChart>
      <c:catAx>
        <c:axId val="6200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096"/>
        <c:crossesAt val="0"/>
        <c:auto val="1"/>
        <c:lblAlgn val="ctr"/>
        <c:lblOffset val="60"/>
        <c:noMultiLvlLbl val="0"/>
      </c:catAx>
      <c:valAx>
        <c:axId val="62001809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1232"/>
        <c:crosses val="autoZero"/>
        <c:crossBetween val="between"/>
        <c:majorUnit val="4.1600000000000012E-2"/>
        <c:minorUnit val="8.3300000000000023E-3"/>
      </c:valAx>
      <c:valAx>
        <c:axId val="62001456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0840"/>
        <c:crosses val="max"/>
        <c:crossBetween val="between"/>
        <c:majorUnit val="4.1600000000000012E-2"/>
      </c:valAx>
      <c:catAx>
        <c:axId val="620020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56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 colon'!$P$2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colon'!$P$3:$P$7</c15:sqref>
                  </c15:fullRef>
                </c:ext>
              </c:extLst>
              <c:f>'CH colon'!$P$3:$P$7</c:f>
              <c:numCache>
                <c:formatCode>h:mm</c:formatCode>
                <c:ptCount val="5"/>
                <c:pt idx="0">
                  <c:v>0</c:v>
                </c:pt>
                <c:pt idx="1">
                  <c:v>0.31388888888888888</c:v>
                </c:pt>
                <c:pt idx="2">
                  <c:v>0.3125</c:v>
                </c:pt>
                <c:pt idx="3">
                  <c:v>0.30902777777777779</c:v>
                </c:pt>
                <c:pt idx="4">
                  <c:v>0.31180555555555556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'CH colon'!$Q$2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colon'!$Q$3:$Q$7</c15:sqref>
                  </c15:fullRef>
                </c:ext>
              </c:extLst>
              <c:f>'CH colon'!$Q$3:$Q$7</c:f>
              <c:numCache>
                <c:formatCode>h:mm</c:formatCode>
                <c:ptCount val="5"/>
                <c:pt idx="0">
                  <c:v>0</c:v>
                </c:pt>
                <c:pt idx="1">
                  <c:v>1.2500000000000011E-2</c:v>
                </c:pt>
                <c:pt idx="2">
                  <c:v>1.0416666666666685E-2</c:v>
                </c:pt>
                <c:pt idx="3">
                  <c:v>1.1805555555555569E-2</c:v>
                </c:pt>
                <c:pt idx="4">
                  <c:v>1.8055555555555547E-2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'CH colon'!$R$2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colon'!$R$3:$R$7</c15:sqref>
                  </c15:fullRef>
                </c:ext>
              </c:extLst>
              <c:f>'CH colon'!$R$3:$R$7</c:f>
              <c:numCache>
                <c:formatCode>h:mm</c:formatCode>
                <c:ptCount val="5"/>
                <c:pt idx="0">
                  <c:v>0</c:v>
                </c:pt>
                <c:pt idx="1">
                  <c:v>2.2222222222222254E-2</c:v>
                </c:pt>
                <c:pt idx="2">
                  <c:v>2.7777777777777735E-2</c:v>
                </c:pt>
                <c:pt idx="3">
                  <c:v>2.2916666666666641E-2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'CH colon'!$S$2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colon'!$S$3:$S$7</c15:sqref>
                  </c15:fullRef>
                </c:ext>
              </c:extLst>
              <c:f>'CH colon'!$S$3:$S$7</c:f>
              <c:numCache>
                <c:formatCode>h:mm</c:formatCode>
                <c:ptCount val="5"/>
                <c:pt idx="0">
                  <c:v>0</c:v>
                </c:pt>
                <c:pt idx="1">
                  <c:v>0.23819444444444443</c:v>
                </c:pt>
                <c:pt idx="2">
                  <c:v>0.15069444444444446</c:v>
                </c:pt>
                <c:pt idx="3">
                  <c:v>0.15833333333333333</c:v>
                </c:pt>
                <c:pt idx="4">
                  <c:v>0.16666666666666669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'CH colon'!$T$2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colon'!$T$3:$T$7</c15:sqref>
                  </c15:fullRef>
                </c:ext>
              </c:extLst>
              <c:f>'CH colon'!$T$3:$T$7</c:f>
              <c:numCache>
                <c:formatCode>h:mm</c:formatCode>
                <c:ptCount val="5"/>
                <c:pt idx="0">
                  <c:v>0</c:v>
                </c:pt>
                <c:pt idx="1">
                  <c:v>1.1805555555555514E-2</c:v>
                </c:pt>
                <c:pt idx="2">
                  <c:v>8.3333333333333037E-3</c:v>
                </c:pt>
                <c:pt idx="3">
                  <c:v>1.0416666666666741E-2</c:v>
                </c:pt>
                <c:pt idx="4">
                  <c:v>9.0277777777777457E-3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'CH colon'!$U$2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colon'!$U$3:$U$7</c15:sqref>
                  </c15:fullRef>
                </c:ext>
              </c:extLst>
              <c:f>'CH colon'!$U$3:$U$7</c:f>
              <c:numCache>
                <c:formatCode>h:mm</c:formatCode>
                <c:ptCount val="5"/>
                <c:pt idx="0">
                  <c:v>0</c:v>
                </c:pt>
                <c:pt idx="1">
                  <c:v>2.6388888888888906E-2</c:v>
                </c:pt>
                <c:pt idx="2">
                  <c:v>3.1944444444444442E-2</c:v>
                </c:pt>
                <c:pt idx="3">
                  <c:v>2.9166666666666563E-2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'CH colon'!$V$2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colon'!$V$3:$V$7</c15:sqref>
                  </c15:fullRef>
                </c:ext>
              </c:extLst>
              <c:f>'CH colon'!$V$3:$V$7</c:f>
              <c:numCache>
                <c:formatCode>h:mm</c:formatCode>
                <c:ptCount val="5"/>
                <c:pt idx="0">
                  <c:v>0</c:v>
                </c:pt>
                <c:pt idx="1">
                  <c:v>2.777777777777779E-2</c:v>
                </c:pt>
                <c:pt idx="2">
                  <c:v>0.11111111111111138</c:v>
                </c:pt>
                <c:pt idx="3">
                  <c:v>0.11111111111111138</c:v>
                </c:pt>
                <c:pt idx="4">
                  <c:v>8.4722222222222476E-2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12216"/>
        <c:axId val="620016136"/>
      </c:barChart>
      <c:lineChart>
        <c:grouping val="standard"/>
        <c:varyColors val="0"/>
        <c:ser>
          <c:idx val="5"/>
          <c:order val="7"/>
          <c:tx>
            <c:strRef>
              <c:f>'CH colon'!$W$2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colon'!$W$3:$W$14</c15:sqref>
                  </c15:fullRef>
                </c:ext>
              </c:extLst>
              <c:f>'CH colon'!$W$3:$W$7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'CH colon'!$X$2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colon'!$X$3:$X$14</c15:sqref>
                  </c15:fullRef>
                </c:ext>
              </c:extLst>
              <c:f>'CH colon'!$X$3:$X$7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'CH colon'!$Y$2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colon'!$Y$3:$Y$14</c15:sqref>
                  </c15:fullRef>
                </c:ext>
              </c:extLst>
              <c:f>'CH colon'!$Y$3:$Y$7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'CH colon'!$Z$2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colon'!$Z$3:$Z$14</c15:sqref>
                  </c15:fullRef>
                </c:ext>
              </c:extLst>
              <c:f>'CH colon'!$Z$3:$Z$7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'CH colon'!$AA$2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colon'!$AA$3:$AA$7</c15:sqref>
                  </c15:fullRef>
                </c:ext>
              </c:extLst>
              <c:f>'CH colon'!$AA$3:$AA$7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'CH colon'!$AB$2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colon'!$AB$3:$AB$14</c15:sqref>
                  </c15:fullRef>
                </c:ext>
              </c:extLst>
              <c:f>'CH colon'!$AB$3:$AB$7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'CH colon'!$AC$2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colon'!$AC$3:$AC$14</c15:sqref>
                  </c15:fullRef>
                </c:ext>
              </c:extLst>
              <c:f>'CH colon'!$AC$3:$AC$7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8488"/>
        <c:axId val="620014960"/>
      </c:lineChart>
      <c:catAx>
        <c:axId val="6200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136"/>
        <c:crossesAt val="0"/>
        <c:auto val="1"/>
        <c:lblAlgn val="ctr"/>
        <c:lblOffset val="60"/>
        <c:noMultiLvlLbl val="0"/>
      </c:catAx>
      <c:valAx>
        <c:axId val="6200161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216"/>
        <c:crosses val="autoZero"/>
        <c:crossBetween val="between"/>
        <c:majorUnit val="4.1600000000000012E-2"/>
        <c:minorUnit val="8.3300000000000023E-3"/>
      </c:valAx>
      <c:valAx>
        <c:axId val="62001496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488"/>
        <c:crosses val="max"/>
        <c:crossBetween val="between"/>
        <c:majorUnit val="4.1600000000000012E-2"/>
      </c:valAx>
      <c:catAx>
        <c:axId val="62001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5'!$P$2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5'!$P$3:$P$7</c15:sqref>
                  </c15:fullRef>
                </c:ext>
              </c:extLst>
              <c:f>'SUB 5'!$P$3:$P$7</c:f>
              <c:numCache>
                <c:formatCode>h:mm</c:formatCode>
                <c:ptCount val="5"/>
                <c:pt idx="0">
                  <c:v>0</c:v>
                </c:pt>
                <c:pt idx="1">
                  <c:v>0.68958333333333333</c:v>
                </c:pt>
                <c:pt idx="2">
                  <c:v>0.68402777777777779</c:v>
                </c:pt>
                <c:pt idx="3">
                  <c:v>0.68402777777777779</c:v>
                </c:pt>
                <c:pt idx="4">
                  <c:v>0.68541666666666667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5'!$Q$2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5'!$Q$3:$Q$7</c15:sqref>
                  </c15:fullRef>
                </c:ext>
              </c:extLst>
              <c:f>'SUB 5'!$Q$3:$Q$7</c:f>
              <c:numCache>
                <c:formatCode>h:mm</c:formatCode>
                <c:ptCount val="5"/>
                <c:pt idx="0">
                  <c:v>0</c:v>
                </c:pt>
                <c:pt idx="1">
                  <c:v>2.083333333333337E-2</c:v>
                </c:pt>
                <c:pt idx="2">
                  <c:v>1.7361111111111049E-2</c:v>
                </c:pt>
                <c:pt idx="3">
                  <c:v>3.125E-2</c:v>
                </c:pt>
                <c:pt idx="4">
                  <c:v>1.5972222222222165E-2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5'!$R$2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5'!$R$3:$R$7</c15:sqref>
                  </c15:fullRef>
                </c:ext>
              </c:extLst>
              <c:f>'SUB 5'!$R$3:$R$7</c:f>
              <c:numCache>
                <c:formatCode>h:mm</c:formatCode>
                <c:ptCount val="5"/>
                <c:pt idx="0">
                  <c:v>0</c:v>
                </c:pt>
                <c:pt idx="1">
                  <c:v>8.3333333333333037E-3</c:v>
                </c:pt>
                <c:pt idx="2">
                  <c:v>1.3194444444444398E-2</c:v>
                </c:pt>
                <c:pt idx="3">
                  <c:v>7.6388888888889728E-3</c:v>
                </c:pt>
                <c:pt idx="4">
                  <c:v>1.5277777777777835E-2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5'!$S$2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5'!$S$3:$S$7</c15:sqref>
                  </c15:fullRef>
                </c:ext>
              </c:extLst>
              <c:f>'SUB 5'!$S$3:$S$7</c:f>
              <c:numCache>
                <c:formatCode>h:mm</c:formatCode>
                <c:ptCount val="5"/>
                <c:pt idx="0">
                  <c:v>0</c:v>
                </c:pt>
                <c:pt idx="1">
                  <c:v>0.22291666666666676</c:v>
                </c:pt>
                <c:pt idx="2">
                  <c:v>0.23472222222222239</c:v>
                </c:pt>
                <c:pt idx="3">
                  <c:v>0.21875</c:v>
                </c:pt>
                <c:pt idx="4">
                  <c:v>0.23124999999999996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5'!$T$2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5'!$T$3:$T$7</c15:sqref>
                  </c15:fullRef>
                </c:ext>
              </c:extLst>
              <c:f>'SUB 5'!$T$3:$T$7</c:f>
              <c:numCache>
                <c:formatCode>h:mm</c:formatCode>
                <c:ptCount val="5"/>
                <c:pt idx="0">
                  <c:v>0</c:v>
                </c:pt>
                <c:pt idx="1">
                  <c:v>6.2499999999998668E-3</c:v>
                </c:pt>
                <c:pt idx="2">
                  <c:v>5.5555555555555358E-3</c:v>
                </c:pt>
                <c:pt idx="3">
                  <c:v>6.2499999999998668E-3</c:v>
                </c:pt>
                <c:pt idx="4">
                  <c:v>6.9444444444445308E-3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5'!$U$2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5'!$U$3:$U$7</c15:sqref>
                  </c15:fullRef>
                </c:ext>
              </c:extLst>
              <c:f>'SUB 5'!$U$3:$U$7</c:f>
              <c:numCache>
                <c:formatCode>h:mm</c:formatCode>
                <c:ptCount val="5"/>
                <c:pt idx="0">
                  <c:v>0</c:v>
                </c:pt>
                <c:pt idx="1">
                  <c:v>2.430555555555558E-2</c:v>
                </c:pt>
                <c:pt idx="2">
                  <c:v>2.4305555555555469E-2</c:v>
                </c:pt>
                <c:pt idx="3">
                  <c:v>2.430555555555558E-2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5'!$V$2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5'!$V$3:$V$7</c15:sqref>
                  </c15:fullRef>
                </c:ext>
              </c:extLst>
              <c:f>'SUB 5'!$V$3:$V$7</c:f>
              <c:numCache>
                <c:formatCode>h:mm</c:formatCode>
                <c:ptCount val="5"/>
                <c:pt idx="0">
                  <c:v>0</c:v>
                </c:pt>
                <c:pt idx="1">
                  <c:v>2.0833333333333259E-2</c:v>
                </c:pt>
                <c:pt idx="2">
                  <c:v>1.388888888888884E-2</c:v>
                </c:pt>
                <c:pt idx="3">
                  <c:v>2.0833333333333259E-2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7160"/>
        <c:axId val="445918336"/>
      </c:barChart>
      <c:lineChart>
        <c:grouping val="standard"/>
        <c:varyColors val="0"/>
        <c:ser>
          <c:idx val="5"/>
          <c:order val="7"/>
          <c:tx>
            <c:strRef>
              <c:f>'SUB 5'!$W$2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5'!$W$3:$W$14</c15:sqref>
                  </c15:fullRef>
                </c:ext>
              </c:extLst>
              <c:f>'SUB 5'!$W$3:$W$7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5'!$X$2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5'!$X$3:$X$14</c15:sqref>
                  </c15:fullRef>
                </c:ext>
              </c:extLst>
              <c:f>'SUB 5'!$X$3:$X$7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5'!$Y$2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5'!$Y$3:$Y$14</c15:sqref>
                  </c15:fullRef>
                </c:ext>
              </c:extLst>
              <c:f>'SUB 5'!$Y$3:$Y$7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5'!$Z$2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5'!$Z$3:$Z$14</c15:sqref>
                  </c15:fullRef>
                </c:ext>
              </c:extLst>
              <c:f>'SUB 5'!$Z$3:$Z$7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5'!$AA$2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5'!$AA$3:$AA$7</c15:sqref>
                  </c15:fullRef>
                </c:ext>
              </c:extLst>
              <c:f>'SUB 5'!$AA$3:$AA$7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5'!$AB$2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5'!$AB$3:$AB$14</c15:sqref>
                  </c15:fullRef>
                </c:ext>
              </c:extLst>
              <c:f>'SUB 5'!$AB$3:$AB$7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5'!$AC$2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5'!$AC$3:$AC$14</c15:sqref>
                  </c15:fullRef>
                </c:ext>
              </c:extLst>
              <c:f>'SUB 5'!$AC$3:$AC$7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9120"/>
        <c:axId val="445918728"/>
      </c:lineChart>
      <c:catAx>
        <c:axId val="44591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8336"/>
        <c:crossesAt val="0"/>
        <c:auto val="1"/>
        <c:lblAlgn val="ctr"/>
        <c:lblOffset val="60"/>
        <c:noMultiLvlLbl val="0"/>
      </c:catAx>
      <c:valAx>
        <c:axId val="44591833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160"/>
        <c:crosses val="autoZero"/>
        <c:crossBetween val="between"/>
        <c:majorUnit val="4.1600000000000012E-2"/>
        <c:minorUnit val="8.3300000000000023E-3"/>
      </c:valAx>
      <c:valAx>
        <c:axId val="4459187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120"/>
        <c:crosses val="max"/>
        <c:crossBetween val="between"/>
        <c:majorUnit val="4.1600000000000012E-2"/>
      </c:valAx>
      <c:catAx>
        <c:axId val="44591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87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2986677576520786"/>
          <c:y val="4.9301346418516911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6'!$P$2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6'!$P$3:$P$7</c15:sqref>
                  </c15:fullRef>
                </c:ext>
              </c:extLst>
              <c:f>'SUB 6'!$P$3:$P$7</c:f>
              <c:numCache>
                <c:formatCode>h:mm</c:formatCode>
                <c:ptCount val="5"/>
                <c:pt idx="0">
                  <c:v>0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0.34027777777777773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6'!$Q$2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6'!$Q$3:$Q$7</c15:sqref>
                  </c15:fullRef>
                </c:ext>
              </c:extLst>
              <c:f>'SUB 6'!$Q$3:$Q$7</c:f>
              <c:numCache>
                <c:formatCode>h:mm</c:formatCode>
                <c:ptCount val="5"/>
                <c:pt idx="0">
                  <c:v>0</c:v>
                </c:pt>
                <c:pt idx="1">
                  <c:v>4.1666666666666685E-2</c:v>
                </c:pt>
                <c:pt idx="2">
                  <c:v>3.4722222222222154E-2</c:v>
                </c:pt>
                <c:pt idx="3">
                  <c:v>2.7777777777777846E-2</c:v>
                </c:pt>
                <c:pt idx="4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6'!$R$2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6'!$R$3:$R$7</c15:sqref>
                  </c15:fullRef>
                </c:ext>
              </c:extLst>
              <c:f>'SUB 6'!$R$3:$R$7</c:f>
              <c:numCache>
                <c:formatCode>h:mm</c:formatCode>
                <c:ptCount val="5"/>
                <c:pt idx="0">
                  <c:v>0</c:v>
                </c:pt>
                <c:pt idx="1">
                  <c:v>6.2499999999999223E-3</c:v>
                </c:pt>
                <c:pt idx="2">
                  <c:v>1.1111111111111183E-2</c:v>
                </c:pt>
                <c:pt idx="3">
                  <c:v>1.1805555555555569E-2</c:v>
                </c:pt>
                <c:pt idx="4">
                  <c:v>1.3888888888888951E-2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6'!$S$2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6'!$S$3:$S$7</c15:sqref>
                  </c15:fullRef>
                </c:ext>
              </c:extLst>
              <c:f>'SUB 6'!$S$3:$S$7</c:f>
              <c:numCache>
                <c:formatCode>h:mm</c:formatCode>
                <c:ptCount val="5"/>
                <c:pt idx="0">
                  <c:v>0</c:v>
                </c:pt>
                <c:pt idx="1">
                  <c:v>0.22916666666666663</c:v>
                </c:pt>
                <c:pt idx="2">
                  <c:v>0.13263888888888892</c:v>
                </c:pt>
                <c:pt idx="3">
                  <c:v>0.20347222222222222</c:v>
                </c:pt>
                <c:pt idx="4">
                  <c:v>0.13194444444444436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6'!$T$2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6'!$T$3:$T$7</c15:sqref>
                  </c15:fullRef>
                </c:ext>
              </c:extLst>
              <c:f>'SUB 6'!$T$3:$T$7</c:f>
              <c:numCache>
                <c:formatCode>h:mm</c:formatCode>
                <c:ptCount val="5"/>
                <c:pt idx="0">
                  <c:v>0</c:v>
                </c:pt>
                <c:pt idx="1">
                  <c:v>7.6388888888889728E-3</c:v>
                </c:pt>
                <c:pt idx="2">
                  <c:v>5.5555555555555358E-3</c:v>
                </c:pt>
                <c:pt idx="3">
                  <c:v>8.3333333333333037E-3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6'!$U$2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6'!$U$3:$U$7</c15:sqref>
                  </c15:fullRef>
                </c:ext>
              </c:extLst>
              <c:f>'SUB 6'!$U$3:$U$7</c:f>
              <c:numCache>
                <c:formatCode>h:mm</c:formatCode>
                <c:ptCount val="5"/>
                <c:pt idx="0">
                  <c:v>0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1.736111111111116E-2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6'!$V$2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6'!$V$3:$V$7</c15:sqref>
                  </c15:fullRef>
                </c:ext>
              </c:extLst>
              <c:f>'SUB 6'!$V$3:$V$7</c:f>
              <c:numCache>
                <c:formatCode>h:mm</c:formatCode>
                <c:ptCount val="5"/>
                <c:pt idx="0">
                  <c:v>0</c:v>
                </c:pt>
                <c:pt idx="1">
                  <c:v>1.388888888888884E-2</c:v>
                </c:pt>
                <c:pt idx="2">
                  <c:v>0.11458333333333326</c:v>
                </c:pt>
                <c:pt idx="3">
                  <c:v>5.0694444444445153E-2</c:v>
                </c:pt>
                <c:pt idx="4">
                  <c:v>0.11805555555555636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9904"/>
        <c:axId val="445920296"/>
      </c:barChart>
      <c:lineChart>
        <c:grouping val="standard"/>
        <c:varyColors val="0"/>
        <c:ser>
          <c:idx val="5"/>
          <c:order val="7"/>
          <c:tx>
            <c:strRef>
              <c:f>'SUB 6'!$W$2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6'!$W$3:$W$14</c15:sqref>
                  </c15:fullRef>
                </c:ext>
              </c:extLst>
              <c:f>'SUB 6'!$W$3:$W$7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6'!$X$2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6'!$X$3:$X$14</c15:sqref>
                  </c15:fullRef>
                </c:ext>
              </c:extLst>
              <c:f>'SUB 6'!$X$3:$X$7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6'!$Y$2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6'!$Y$3:$Y$14</c15:sqref>
                  </c15:fullRef>
                </c:ext>
              </c:extLst>
              <c:f>'SUB 6'!$Y$3:$Y$7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6'!$Z$2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6'!$Z$3:$Z$14</c15:sqref>
                  </c15:fullRef>
                </c:ext>
              </c:extLst>
              <c:f>'SUB 6'!$Z$3:$Z$7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6'!$AA$2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6'!$AA$3:$AA$7</c15:sqref>
                  </c15:fullRef>
                </c:ext>
              </c:extLst>
              <c:f>'SUB 6'!$AA$3:$AA$7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6'!$AB$2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6'!$AB$3:$AB$14</c15:sqref>
                  </c15:fullRef>
                </c:ext>
              </c:extLst>
              <c:f>'SUB 6'!$AB$3:$AB$7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6'!$AC$2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6'!$AC$3:$AC$14</c15:sqref>
                  </c15:fullRef>
                </c:ext>
              </c:extLst>
              <c:f>'SUB 6'!$AC$3:$AC$7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21080"/>
        <c:axId val="445920688"/>
      </c:lineChart>
      <c:catAx>
        <c:axId val="4459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0296"/>
        <c:crossesAt val="0"/>
        <c:auto val="1"/>
        <c:lblAlgn val="ctr"/>
        <c:lblOffset val="60"/>
        <c:noMultiLvlLbl val="0"/>
      </c:catAx>
      <c:valAx>
        <c:axId val="44592029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904"/>
        <c:crosses val="autoZero"/>
        <c:crossBetween val="between"/>
        <c:majorUnit val="4.1600000000000012E-2"/>
        <c:minorUnit val="8.3300000000000023E-3"/>
      </c:valAx>
      <c:valAx>
        <c:axId val="44592068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1080"/>
        <c:crosses val="max"/>
        <c:crossBetween val="between"/>
        <c:majorUnit val="4.1600000000000012E-2"/>
      </c:valAx>
      <c:catAx>
        <c:axId val="44592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206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1625798776806338"/>
          <c:y val="4.2363227223204618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'PIPA 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N'!$P$3:$P$7</c15:sqref>
                  </c15:fullRef>
                </c:ext>
              </c:extLst>
              <c:f>'PIPA N'!$P$3:$P$7</c:f>
              <c:numCache>
                <c:formatCode>h:mm</c:formatCode>
                <c:ptCount val="5"/>
                <c:pt idx="0">
                  <c:v>0</c:v>
                </c:pt>
                <c:pt idx="1">
                  <c:v>0.34027777777777773</c:v>
                </c:pt>
                <c:pt idx="2">
                  <c:v>0.33680555555555558</c:v>
                </c:pt>
                <c:pt idx="3">
                  <c:v>0.34375</c:v>
                </c:pt>
                <c:pt idx="4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'PIPA 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N'!$Q$3:$Q$7</c15:sqref>
                  </c15:fullRef>
                </c:ext>
              </c:extLst>
              <c:f>'PIPA N'!$Q$3:$Q$7</c:f>
              <c:numCache>
                <c:formatCode>h:mm</c:formatCode>
                <c:ptCount val="5"/>
                <c:pt idx="0">
                  <c:v>0</c:v>
                </c:pt>
                <c:pt idx="1">
                  <c:v>3.125E-2</c:v>
                </c:pt>
                <c:pt idx="2">
                  <c:v>2.7777777777777735E-2</c:v>
                </c:pt>
                <c:pt idx="3">
                  <c:v>2.0833333333333315E-2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'PIPA 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N'!$R$3:$R$7</c15:sqref>
                  </c15:fullRef>
                </c:ext>
              </c:extLst>
              <c:f>'PIPA N'!$R$3:$R$7</c:f>
              <c:numCache>
                <c:formatCode>h:mm</c:formatCode>
                <c:ptCount val="5"/>
                <c:pt idx="0">
                  <c:v>0</c:v>
                </c:pt>
                <c:pt idx="1">
                  <c:v>6.2500000000000333E-3</c:v>
                </c:pt>
                <c:pt idx="2">
                  <c:v>1.5277777777777835E-2</c:v>
                </c:pt>
                <c:pt idx="3">
                  <c:v>9.7222222222221877E-3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'PIPA 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N'!$S$3:$S$7</c15:sqref>
                  </c15:fullRef>
                </c:ext>
              </c:extLst>
              <c:f>'PIPA N'!$S$3:$S$7</c:f>
              <c:numCache>
                <c:formatCode>h:mm</c:formatCode>
                <c:ptCount val="5"/>
                <c:pt idx="0">
                  <c:v>0</c:v>
                </c:pt>
                <c:pt idx="1">
                  <c:v>0.2284722222222223</c:v>
                </c:pt>
                <c:pt idx="2">
                  <c:v>0.23541666666666666</c:v>
                </c:pt>
                <c:pt idx="3">
                  <c:v>0.23472222222222233</c:v>
                </c:pt>
                <c:pt idx="4">
                  <c:v>0.22708333333333325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'PIPA 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N'!$T$3:$T$7</c15:sqref>
                  </c15:fullRef>
                </c:ext>
              </c:extLst>
              <c:f>'PIPA N'!$T$3:$T$7</c:f>
              <c:numCache>
                <c:formatCode>h:mm</c:formatCode>
                <c:ptCount val="5"/>
                <c:pt idx="0">
                  <c:v>0</c:v>
                </c:pt>
                <c:pt idx="1">
                  <c:v>1.1805555555555514E-2</c:v>
                </c:pt>
                <c:pt idx="2">
                  <c:v>6.2499999999999778E-3</c:v>
                </c:pt>
                <c:pt idx="3">
                  <c:v>5.5555555555555358E-3</c:v>
                </c:pt>
                <c:pt idx="4">
                  <c:v>5.5555555555555358E-3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'PIPA 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N'!$U$3:$U$7</c15:sqref>
                  </c15:fullRef>
                </c:ext>
              </c:extLst>
              <c:f>'PIPA N'!$U$3:$U$7</c:f>
              <c:numCache>
                <c:formatCode>h:mm</c:formatCode>
                <c:ptCount val="5"/>
                <c:pt idx="0">
                  <c:v>0</c:v>
                </c:pt>
                <c:pt idx="1">
                  <c:v>2.2222222222222254E-2</c:v>
                </c:pt>
                <c:pt idx="2">
                  <c:v>2.2916666666666696E-2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'PIPA 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N'!$V$3:$V$7</c15:sqref>
                  </c15:fullRef>
                </c:ext>
              </c:extLst>
              <c:f>'PIPA N'!$V$3:$V$7</c:f>
              <c:numCache>
                <c:formatCode>h:mm</c:formatCode>
                <c:ptCount val="5"/>
                <c:pt idx="0">
                  <c:v>0</c:v>
                </c:pt>
                <c:pt idx="1">
                  <c:v>1.9444444444444375E-2</c:v>
                </c:pt>
                <c:pt idx="2">
                  <c:v>1.5277777777777724E-2</c:v>
                </c:pt>
                <c:pt idx="3">
                  <c:v>2.0833333333333259E-2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3550656"/>
        <c:axId val="443553008"/>
      </c:barChart>
      <c:lineChart>
        <c:grouping val="standard"/>
        <c:varyColors val="0"/>
        <c:ser>
          <c:idx val="5"/>
          <c:order val="7"/>
          <c:tx>
            <c:strRef>
              <c:f>'PIPA 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N'!$W$3:$W$14</c15:sqref>
                  </c15:fullRef>
                </c:ext>
              </c:extLst>
              <c:f>'PIPA 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'PIPA 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N'!$X$3:$X$14</c15:sqref>
                  </c15:fullRef>
                </c:ext>
              </c:extLst>
              <c:f>'PIPA 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'PIPA N'!$Y$2</c:f>
              <c:strCache>
                <c:ptCount val="1"/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N'!$Y$3:$Y$14</c15:sqref>
                  </c15:fullRef>
                </c:ext>
              </c:extLst>
              <c:f>'PIPA N'!$Y$3:$Y$7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'PIPA N'!$Z$2</c:f>
              <c:strCache>
                <c:ptCount val="1"/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N'!$Z$3:$Z$14</c15:sqref>
                  </c15:fullRef>
                </c:ext>
              </c:extLst>
              <c:f>'PIPA N'!$Z$3:$Z$7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'PIPA N'!$AA$2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N'!$AA$3:$AA$7</c15:sqref>
                  </c15:fullRef>
                </c:ext>
              </c:extLst>
              <c:f>'PIPA N'!$AA$3:$AA$7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'PIPA N'!$AB$2</c:f>
              <c:strCache>
                <c:ptCount val="1"/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N'!$AB$3:$AB$14</c15:sqref>
                  </c15:fullRef>
                </c:ext>
              </c:extLst>
              <c:f>'PIPA N'!$AB$3:$AB$7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'PIPA N'!$AC$2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N'!$AC$3:$AC$14</c15:sqref>
                  </c15:fullRef>
                </c:ext>
              </c:extLst>
              <c:f>'PIPA N'!$AC$3:$AC$7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96192"/>
        <c:axId val="443551048"/>
      </c:lineChart>
      <c:catAx>
        <c:axId val="4435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3008"/>
        <c:crossesAt val="0"/>
        <c:auto val="1"/>
        <c:lblAlgn val="ctr"/>
        <c:lblOffset val="60"/>
        <c:noMultiLvlLbl val="0"/>
      </c:catAx>
      <c:valAx>
        <c:axId val="44355300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0656"/>
        <c:crosses val="autoZero"/>
        <c:crossBetween val="between"/>
        <c:majorUnit val="4.1600000000000012E-2"/>
        <c:minorUnit val="8.3300000000000023E-3"/>
      </c:valAx>
      <c:valAx>
        <c:axId val="44355104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192"/>
        <c:crosses val="max"/>
        <c:crossBetween val="between"/>
        <c:majorUnit val="4.1600000000000012E-2"/>
      </c:valAx>
      <c:catAx>
        <c:axId val="4562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55104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DIABLO!$P$2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DIABLO!$P$3:$P$7</c15:sqref>
                  </c15:fullRef>
                </c:ext>
              </c:extLst>
              <c:f>DIABLO!$P$3:$P$7</c:f>
              <c:numCache>
                <c:formatCode>h:mm</c:formatCode>
                <c:ptCount val="5"/>
                <c:pt idx="0">
                  <c:v>0</c:v>
                </c:pt>
                <c:pt idx="1">
                  <c:v>0.34027777777777773</c:v>
                </c:pt>
                <c:pt idx="2">
                  <c:v>0.33888888888888885</c:v>
                </c:pt>
                <c:pt idx="3">
                  <c:v>0.34375</c:v>
                </c:pt>
                <c:pt idx="4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DIABLO!$Q$2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DIABLO!$Q$3:$Q$7</c15:sqref>
                  </c15:fullRef>
                </c:ext>
              </c:extLst>
              <c:f>DIABLO!$Q$3:$Q$7</c:f>
              <c:numCache>
                <c:formatCode>h:mm</c:formatCode>
                <c:ptCount val="5"/>
                <c:pt idx="0">
                  <c:v>0</c:v>
                </c:pt>
                <c:pt idx="1">
                  <c:v>3.125E-2</c:v>
                </c:pt>
                <c:pt idx="2">
                  <c:v>2.5694444444444464E-2</c:v>
                </c:pt>
                <c:pt idx="3">
                  <c:v>2.0833333333333315E-2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DIABLO!$R$2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DIABLO!$R$3:$R$7</c15:sqref>
                  </c15:fullRef>
                </c:ext>
              </c:extLst>
              <c:f>DIABLO!$R$3:$R$7</c:f>
              <c:numCache>
                <c:formatCode>h:mm</c:formatCode>
                <c:ptCount val="5"/>
                <c:pt idx="0">
                  <c:v>0</c:v>
                </c:pt>
                <c:pt idx="1">
                  <c:v>5.5555555555556468E-3</c:v>
                </c:pt>
                <c:pt idx="2">
                  <c:v>1.3194444444444453E-2</c:v>
                </c:pt>
                <c:pt idx="3">
                  <c:v>8.3333333333333037E-3</c:v>
                </c:pt>
                <c:pt idx="4">
                  <c:v>8.3333333333333037E-3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DIABLO!$S$2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DIABLO!$S$3:$S$7</c15:sqref>
                  </c15:fullRef>
                </c:ext>
              </c:extLst>
              <c:f>DIABLO!$S$3:$S$7</c:f>
              <c:numCache>
                <c:formatCode>h:mm</c:formatCode>
                <c:ptCount val="5"/>
                <c:pt idx="0">
                  <c:v>0</c:v>
                </c:pt>
                <c:pt idx="1">
                  <c:v>0.23333333333333334</c:v>
                </c:pt>
                <c:pt idx="2">
                  <c:v>0.23472222222222217</c:v>
                </c:pt>
                <c:pt idx="3">
                  <c:v>0.23680555555555555</c:v>
                </c:pt>
                <c:pt idx="4">
                  <c:v>0.22986111111111118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DIABLO!$T$2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DIABLO!$T$3:$T$7</c15:sqref>
                  </c15:fullRef>
                </c:ext>
              </c:extLst>
              <c:f>DIABLO!$T$3:$T$7</c:f>
              <c:numCache>
                <c:formatCode>h:mm</c:formatCode>
                <c:ptCount val="5"/>
                <c:pt idx="0">
                  <c:v>0</c:v>
                </c:pt>
                <c:pt idx="1">
                  <c:v>7.6388888888888618E-3</c:v>
                </c:pt>
                <c:pt idx="2">
                  <c:v>9.0277777777778567E-3</c:v>
                </c:pt>
                <c:pt idx="3">
                  <c:v>4.8611111111112049E-3</c:v>
                </c:pt>
                <c:pt idx="4">
                  <c:v>4.8611111111109828E-3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DIABLO!$U$2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DIABLO!$U$3:$U$7</c15:sqref>
                  </c15:fullRef>
                </c:ext>
              </c:extLst>
              <c:f>DIABLO!$U$3:$U$7</c:f>
              <c:numCache>
                <c:formatCode>h:mm</c:formatCode>
                <c:ptCount val="5"/>
                <c:pt idx="0">
                  <c:v>0</c:v>
                </c:pt>
                <c:pt idx="1">
                  <c:v>2.2222222222222254E-2</c:v>
                </c:pt>
                <c:pt idx="2">
                  <c:v>2.2916666666666696E-2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DIABLO!$V$2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DIABLO!$V$3:$V$7</c15:sqref>
                  </c15:fullRef>
                </c:ext>
              </c:extLst>
              <c:f>DIABLO!$V$3:$V$7</c:f>
              <c:numCache>
                <c:formatCode>h:mm</c:formatCode>
                <c:ptCount val="5"/>
                <c:pt idx="0">
                  <c:v>0</c:v>
                </c:pt>
                <c:pt idx="1">
                  <c:v>1.9444444444444375E-2</c:v>
                </c:pt>
                <c:pt idx="2">
                  <c:v>1.5277777777777724E-2</c:v>
                </c:pt>
                <c:pt idx="3">
                  <c:v>2.0833333333333259E-2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6296976"/>
        <c:axId val="456298544"/>
      </c:barChart>
      <c:lineChart>
        <c:grouping val="standard"/>
        <c:varyColors val="0"/>
        <c:ser>
          <c:idx val="5"/>
          <c:order val="7"/>
          <c:tx>
            <c:strRef>
              <c:f>DIABLO!$W$2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DIABLO!$W$3:$W$14</c15:sqref>
                  </c15:fullRef>
                </c:ext>
              </c:extLst>
              <c:f>DIABLO!$W$3:$W$7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DIABLO!$X$2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DIABLO!$X$3:$X$14</c15:sqref>
                  </c15:fullRef>
                </c:ext>
              </c:extLst>
              <c:f>DIABLO!$X$3:$X$7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DIABLO!$Y$2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DIABLO!$Y$3:$Y$14</c15:sqref>
                  </c15:fullRef>
                </c:ext>
              </c:extLst>
              <c:f>DIABLO!$Y$3:$Y$7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DIABLO!$Z$2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DIABLO!$Z$3:$Z$14</c15:sqref>
                  </c15:fullRef>
                </c:ext>
              </c:extLst>
              <c:f>DIABLO!$Z$3:$Z$7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DIABLO!$AA$2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DIABLO!$AA$3:$AA$7</c15:sqref>
                  </c15:fullRef>
                </c:ext>
              </c:extLst>
              <c:f>DIABLO!$AA$3:$AA$7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DIABLO!$AB$2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DIABLO!$AB$3:$AB$14</c15:sqref>
                  </c15:fullRef>
                </c:ext>
              </c:extLst>
              <c:f>DIABLO!$AB$3:$AB$7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DIABLO!$AC$2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DIABLO!$AC$3:$AC$14</c15:sqref>
                  </c15:fullRef>
                </c:ext>
              </c:extLst>
              <c:f>DIABLO!$AC$3:$AC$7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03384"/>
        <c:axId val="361398680"/>
      </c:lineChart>
      <c:catAx>
        <c:axId val="4562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8544"/>
        <c:crossesAt val="0"/>
        <c:auto val="1"/>
        <c:lblAlgn val="ctr"/>
        <c:lblOffset val="60"/>
        <c:noMultiLvlLbl val="0"/>
      </c:catAx>
      <c:valAx>
        <c:axId val="456298544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976"/>
        <c:crosses val="autoZero"/>
        <c:crossBetween val="between"/>
        <c:majorUnit val="4.1600000000000012E-2"/>
        <c:minorUnit val="8.3300000000000023E-3"/>
      </c:valAx>
      <c:valAx>
        <c:axId val="36139868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1403384"/>
        <c:crosses val="max"/>
        <c:crossBetween val="between"/>
        <c:majorUnit val="4.1600000000000012E-2"/>
      </c:valAx>
      <c:catAx>
        <c:axId val="361403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9868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ACCU!$P$2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ACCU!$P$3:$P$7</c15:sqref>
                  </c15:fullRef>
                </c:ext>
              </c:extLst>
              <c:f>ACCU!$P$3:$P$7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0.33680555555555602</c:v>
                </c:pt>
                <c:pt idx="4">
                  <c:v>0.33680555555555602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ACCU!$Q$2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ACCU!$Q$3:$Q$7</c15:sqref>
                  </c15:fullRef>
                </c:ext>
              </c:extLst>
              <c:f>ACCU!$Q$3:$Q$7</c:f>
              <c:numCache>
                <c:formatCode>h:mm</c:formatCode>
                <c:ptCount val="5"/>
                <c:pt idx="0">
                  <c:v>9.0277777777778012E-3</c:v>
                </c:pt>
                <c:pt idx="1">
                  <c:v>9.7222222222221877E-3</c:v>
                </c:pt>
                <c:pt idx="2">
                  <c:v>6.9444444444444198E-3</c:v>
                </c:pt>
                <c:pt idx="3">
                  <c:v>6.9444444444439757E-3</c:v>
                </c:pt>
                <c:pt idx="4">
                  <c:v>8.3333333333328596E-3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ACCU!$R$2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ACCU!$R$3:$R$7</c15:sqref>
                  </c15:fullRef>
                </c:ext>
              </c:extLst>
              <c:f>ACCU!$R$3:$R$7</c:f>
              <c:numCache>
                <c:formatCode>h:mm</c:formatCode>
                <c:ptCount val="5"/>
                <c:pt idx="0">
                  <c:v>8.3333333333333037E-3</c:v>
                </c:pt>
                <c:pt idx="1">
                  <c:v>9.0277777777778012E-3</c:v>
                </c:pt>
                <c:pt idx="2">
                  <c:v>7.6388888888889173E-3</c:v>
                </c:pt>
                <c:pt idx="3">
                  <c:v>1.1805555555555569E-2</c:v>
                </c:pt>
                <c:pt idx="4">
                  <c:v>8.3333333333333037E-3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ACCU!$S$2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ACCU!$S$3:$S$7</c15:sqref>
                  </c15:fullRef>
                </c:ext>
              </c:extLst>
              <c:f>ACCU!$S$3:$S$7</c:f>
              <c:numCache>
                <c:formatCode>h:mm</c:formatCode>
                <c:ptCount val="5"/>
                <c:pt idx="0">
                  <c:v>0.18749999999999994</c:v>
                </c:pt>
                <c:pt idx="1">
                  <c:v>0.18263888888888885</c:v>
                </c:pt>
                <c:pt idx="2">
                  <c:v>0.19027777777777771</c:v>
                </c:pt>
                <c:pt idx="3">
                  <c:v>0.17569444444444443</c:v>
                </c:pt>
                <c:pt idx="4">
                  <c:v>0.17777777777777781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ACCU!$T$2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ACCU!$T$3:$T$7</c15:sqref>
                  </c15:fullRef>
                </c:ext>
              </c:extLst>
              <c:f>ACCU!$T$3:$T$7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9.0277777777777457E-3</c:v>
                </c:pt>
                <c:pt idx="2">
                  <c:v>6.9444444444444198E-3</c:v>
                </c:pt>
                <c:pt idx="3">
                  <c:v>9.7222222222221877E-3</c:v>
                </c:pt>
                <c:pt idx="4">
                  <c:v>1.5277777777777835E-2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ACCU!$U$2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ACCU!$U$3:$U$7</c15:sqref>
                  </c15:fullRef>
                </c:ext>
              </c:extLst>
              <c:f>ACCU!$U$3:$U$7</c:f>
              <c:numCache>
                <c:formatCode>h:mm</c:formatCode>
                <c:ptCount val="5"/>
                <c:pt idx="0">
                  <c:v>3.125E-2</c:v>
                </c:pt>
                <c:pt idx="1">
                  <c:v>2.9166666666666785E-2</c:v>
                </c:pt>
                <c:pt idx="2">
                  <c:v>2.430555555555558E-2</c:v>
                </c:pt>
                <c:pt idx="3">
                  <c:v>3.1944444444444442E-2</c:v>
                </c:pt>
                <c:pt idx="4">
                  <c:v>2.9861111111111116E-2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ACCU!$V$2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ACCU!$V$3:$V$7</c15:sqref>
                  </c15:fullRef>
                </c:ext>
              </c:extLst>
              <c:f>ACCU!$V$3:$V$7</c:f>
              <c:numCache>
                <c:formatCode>h:mm</c:formatCode>
                <c:ptCount val="5"/>
                <c:pt idx="0">
                  <c:v>0.25347222222222232</c:v>
                </c:pt>
                <c:pt idx="1">
                  <c:v>0.25694444444444442</c:v>
                </c:pt>
                <c:pt idx="2">
                  <c:v>0.26041666666666641</c:v>
                </c:pt>
                <c:pt idx="3">
                  <c:v>0.26041666666666641</c:v>
                </c:pt>
                <c:pt idx="4">
                  <c:v>0.25694444444444409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183000"/>
        <c:axId val="173183392"/>
      </c:barChart>
      <c:lineChart>
        <c:grouping val="standard"/>
        <c:varyColors val="0"/>
        <c:ser>
          <c:idx val="5"/>
          <c:order val="7"/>
          <c:tx>
            <c:strRef>
              <c:f>ACCU!$K$43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ACCU!$W$3:$W$14</c15:sqref>
                  </c15:fullRef>
                </c:ext>
              </c:extLst>
              <c:f>ACCU!$W$3:$W$7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ACCU!$X$2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ACCU!$X$3:$X$14</c15:sqref>
                  </c15:fullRef>
                </c:ext>
              </c:extLst>
              <c:f>ACCU!$X$3:$X$7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ACCU!$Y$2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ACCU!$Y$3:$Y$14</c15:sqref>
                  </c15:fullRef>
                </c:ext>
              </c:extLst>
              <c:f>ACCU!$Y$3:$Y$7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ACCU!$Z$2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ACCU!$Z$3:$Z$14</c15:sqref>
                  </c15:fullRef>
                </c:ext>
              </c:extLst>
              <c:f>ACCU!$Z$3:$Z$7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ACCU!$AA$2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ACCU!$AA$3:$AA$7</c15:sqref>
                  </c15:fullRef>
                </c:ext>
              </c:extLst>
              <c:f>ACCU!$AA$3:$AA$7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ACCU!$AB$2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ACCU!$AB$3:$AB$14</c15:sqref>
                  </c15:fullRef>
                </c:ext>
              </c:extLst>
              <c:f>ACCU!$AB$3:$AB$7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ACCU!$AC$2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ACCU!$AC$3:$AC$14</c15:sqref>
                  </c15:fullRef>
                </c:ext>
              </c:extLst>
              <c:f>ACCU!$AC$3:$AC$7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7440"/>
        <c:axId val="360032320"/>
      </c:lineChart>
      <c:catAx>
        <c:axId val="17318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392"/>
        <c:crossesAt val="0"/>
        <c:auto val="1"/>
        <c:lblAlgn val="ctr"/>
        <c:lblOffset val="60"/>
        <c:noMultiLvlLbl val="0"/>
      </c:catAx>
      <c:valAx>
        <c:axId val="17318339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000"/>
        <c:crosses val="autoZero"/>
        <c:crossBetween val="between"/>
        <c:majorUnit val="4.1600000000000012E-2"/>
        <c:minorUnit val="8.3300000000000023E-3"/>
      </c:valAx>
      <c:valAx>
        <c:axId val="36003232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440"/>
        <c:crosses val="max"/>
        <c:crossBetween val="between"/>
        <c:majorUnit val="4.1600000000000012E-2"/>
      </c:valAx>
      <c:catAx>
        <c:axId val="66599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3232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Salvataje!$P$2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</c:v>
                </c:pt>
                <c:pt idx="1">
                  <c:v>0.33749999999999997</c:v>
                </c:pt>
                <c:pt idx="2">
                  <c:v>0.33958333333333335</c:v>
                </c:pt>
                <c:pt idx="3">
                  <c:v>0.33749999999999997</c:v>
                </c:pt>
                <c:pt idx="4">
                  <c:v>0.33611111111111108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6-49A1-8ED7-D2D018AAF059}"/>
            </c:ext>
          </c:extLst>
        </c:ser>
        <c:ser>
          <c:idx val="1"/>
          <c:order val="1"/>
          <c:tx>
            <c:strRef>
              <c:f>Salvataje!$Q$2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Salvataje!$Q$3:$Q$7</c15:sqref>
                  </c15:fullRef>
                </c:ext>
              </c:extLst>
              <c:f>Salvataje!$Q$3:$Q$7</c:f>
              <c:numCache>
                <c:formatCode>h:mm</c:formatCode>
                <c:ptCount val="5"/>
                <c:pt idx="0">
                  <c:v>0</c:v>
                </c:pt>
                <c:pt idx="1">
                  <c:v>3.8194444444444531E-2</c:v>
                </c:pt>
                <c:pt idx="2">
                  <c:v>6.944444444444442E-2</c:v>
                </c:pt>
                <c:pt idx="3">
                  <c:v>6.9444444444444198E-3</c:v>
                </c:pt>
                <c:pt idx="4">
                  <c:v>3.4722222222222154E-2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6-49A1-8ED7-D2D018AAF059}"/>
            </c:ext>
          </c:extLst>
        </c:ser>
        <c:ser>
          <c:idx val="2"/>
          <c:order val="2"/>
          <c:tx>
            <c:strRef>
              <c:f>Salvataje!$R$2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Salvataje!$R$3:$R$7</c15:sqref>
                  </c15:fullRef>
                </c:ext>
              </c:extLst>
              <c:f>Salvataje!$R$3:$R$7</c:f>
              <c:numCache>
                <c:formatCode>h:mm</c:formatCode>
                <c:ptCount val="5"/>
                <c:pt idx="0">
                  <c:v>0</c:v>
                </c:pt>
                <c:pt idx="1">
                  <c:v>8.3333333333333037E-3</c:v>
                </c:pt>
                <c:pt idx="2">
                  <c:v>-1.6666666666666663E-2</c:v>
                </c:pt>
                <c:pt idx="3">
                  <c:v>2.1527777777777812E-2</c:v>
                </c:pt>
                <c:pt idx="4">
                  <c:v>5.5555555555556468E-3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6-49A1-8ED7-D2D018AAF059}"/>
            </c:ext>
          </c:extLst>
        </c:ser>
        <c:ser>
          <c:idx val="3"/>
          <c:order val="3"/>
          <c:tx>
            <c:strRef>
              <c:f>Salvataje!$S$2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Salvataje!$S$3:$S$7</c15:sqref>
                  </c15:fullRef>
                </c:ext>
              </c:extLst>
              <c:f>Salvataje!$S$3:$S$7</c:f>
              <c:numCache>
                <c:formatCode>h:mm</c:formatCode>
                <c:ptCount val="5"/>
                <c:pt idx="0">
                  <c:v>0</c:v>
                </c:pt>
                <c:pt idx="1">
                  <c:v>0.21111111111111108</c:v>
                </c:pt>
                <c:pt idx="2">
                  <c:v>0.19722222222222224</c:v>
                </c:pt>
                <c:pt idx="3">
                  <c:v>0.1743055555555556</c:v>
                </c:pt>
                <c:pt idx="4">
                  <c:v>0.21249999999999997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6-49A1-8ED7-D2D018AAF059}"/>
            </c:ext>
          </c:extLst>
        </c:ser>
        <c:ser>
          <c:idx val="9"/>
          <c:order val="4"/>
          <c:tx>
            <c:strRef>
              <c:f>Salvataje!$T$2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Salvataje!$T$3:$T$7</c15:sqref>
                  </c15:fullRef>
                </c:ext>
              </c:extLst>
              <c:f>Salvataje!$T$3:$T$7</c:f>
              <c:numCache>
                <c:formatCode>h:mm</c:formatCode>
                <c:ptCount val="5"/>
                <c:pt idx="0">
                  <c:v>0</c:v>
                </c:pt>
                <c:pt idx="1">
                  <c:v>2.7777777777777679E-3</c:v>
                </c:pt>
                <c:pt idx="2">
                  <c:v>3.4722222222222099E-3</c:v>
                </c:pt>
                <c:pt idx="3">
                  <c:v>5.5555555555555358E-3</c:v>
                </c:pt>
                <c:pt idx="4">
                  <c:v>1.1111111111111072E-2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6-49A1-8ED7-D2D018AAF059}"/>
            </c:ext>
          </c:extLst>
        </c:ser>
        <c:ser>
          <c:idx val="4"/>
          <c:order val="5"/>
          <c:tx>
            <c:strRef>
              <c:f>Salvataje!$U$2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Salvataje!$U$3:$U$7</c15:sqref>
                  </c15:fullRef>
                </c:ext>
              </c:extLst>
              <c:f>Salvataje!$U$3:$U$7</c:f>
              <c:numCache>
                <c:formatCode>h:mm</c:formatCode>
                <c:ptCount val="5"/>
                <c:pt idx="0">
                  <c:v>0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6-49A1-8ED7-D2D018AAF059}"/>
            </c:ext>
          </c:extLst>
        </c:ser>
        <c:ser>
          <c:idx val="12"/>
          <c:order val="6"/>
          <c:tx>
            <c:strRef>
              <c:f>Salvataje!$V$2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Salvataje!$V$3:$V$7</c15:sqref>
                  </c15:fullRef>
                </c:ext>
              </c:extLst>
              <c:f>Salvataje!$V$3:$V$7</c:f>
              <c:numCache>
                <c:formatCode>h:mm</c:formatCode>
                <c:ptCount val="5"/>
                <c:pt idx="0">
                  <c:v>0</c:v>
                </c:pt>
                <c:pt idx="1">
                  <c:v>3.472222222222221E-2</c:v>
                </c:pt>
                <c:pt idx="2">
                  <c:v>4.5138888888888618E-2</c:v>
                </c:pt>
                <c:pt idx="3">
                  <c:v>8.3333333333333037E-2</c:v>
                </c:pt>
                <c:pt idx="4">
                  <c:v>3.4722222222221988E-2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712"/>
        <c:axId val="665997832"/>
      </c:barChart>
      <c:lineChart>
        <c:grouping val="standard"/>
        <c:varyColors val="0"/>
        <c:ser>
          <c:idx val="5"/>
          <c:order val="7"/>
          <c:tx>
            <c:strRef>
              <c:f>Salvataje!$W$2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6-49A1-8ED7-D2D018AAF059}"/>
            </c:ext>
          </c:extLst>
        </c:ser>
        <c:ser>
          <c:idx val="6"/>
          <c:order val="8"/>
          <c:tx>
            <c:strRef>
              <c:f>Salvataje!$X$2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6-49A1-8ED7-D2D018AAF059}"/>
            </c:ext>
          </c:extLst>
        </c:ser>
        <c:ser>
          <c:idx val="7"/>
          <c:order val="9"/>
          <c:tx>
            <c:strRef>
              <c:f>Salvataje!$Y$2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26-49A1-8ED7-D2D018AAF059}"/>
            </c:ext>
          </c:extLst>
        </c:ser>
        <c:ser>
          <c:idx val="8"/>
          <c:order val="10"/>
          <c:tx>
            <c:strRef>
              <c:f>Salvataje!$Z$2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6-49A1-8ED7-D2D018AAF059}"/>
            </c:ext>
          </c:extLst>
        </c:ser>
        <c:ser>
          <c:idx val="10"/>
          <c:order val="11"/>
          <c:tx>
            <c:strRef>
              <c:f>Salvataje!$AA$2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26-49A1-8ED7-D2D018AAF059}"/>
            </c:ext>
          </c:extLst>
        </c:ser>
        <c:ser>
          <c:idx val="14"/>
          <c:order val="12"/>
          <c:tx>
            <c:strRef>
              <c:f>Salvataje!$AB$2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6-49A1-8ED7-D2D018AAF059}"/>
            </c:ext>
          </c:extLst>
        </c:ser>
        <c:ser>
          <c:idx val="19"/>
          <c:order val="13"/>
          <c:tx>
            <c:strRef>
              <c:f>Salvataje!$AC$2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001752"/>
        <c:axId val="665998224"/>
      </c:lineChart>
      <c:catAx>
        <c:axId val="6660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832"/>
        <c:crossesAt val="0"/>
        <c:auto val="1"/>
        <c:lblAlgn val="ctr"/>
        <c:lblOffset val="60"/>
        <c:noMultiLvlLbl val="0"/>
      </c:catAx>
      <c:valAx>
        <c:axId val="66599783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712"/>
        <c:crosses val="autoZero"/>
        <c:crossBetween val="between"/>
        <c:majorUnit val="4.1600000000000012E-2"/>
        <c:minorUnit val="8.3300000000000023E-3"/>
      </c:valAx>
      <c:valAx>
        <c:axId val="665998224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1752"/>
        <c:crosses val="max"/>
        <c:crossBetween val="between"/>
        <c:majorUnit val="4.1600000000000012E-2"/>
      </c:valAx>
      <c:catAx>
        <c:axId val="666001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224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'Vent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'!$P$3:$P$7</c15:sqref>
                  </c15:fullRef>
                </c:ext>
              </c:extLst>
              <c:f>'Vent '!$P$3:$P$7</c:f>
              <c:numCache>
                <c:formatCode>h:mm</c:formatCode>
                <c:ptCount val="5"/>
                <c:pt idx="0">
                  <c:v>0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'Vent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'!$Q$3:$Q$7</c15:sqref>
                  </c15:fullRef>
                </c:ext>
              </c:extLst>
              <c:f>'Vent '!$Q$3:$Q$7</c:f>
              <c:numCache>
                <c:formatCode>h:mm</c:formatCode>
                <c:ptCount val="5"/>
                <c:pt idx="0">
                  <c:v>0</c:v>
                </c:pt>
                <c:pt idx="1">
                  <c:v>3.4722222222222099E-2</c:v>
                </c:pt>
                <c:pt idx="2">
                  <c:v>4.3749999999999956E-2</c:v>
                </c:pt>
                <c:pt idx="3">
                  <c:v>4.166666666666663E-2</c:v>
                </c:pt>
                <c:pt idx="4">
                  <c:v>3.4722222222222099E-2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'Vent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'!$R$3:$R$7</c15:sqref>
                  </c15:fullRef>
                </c:ext>
              </c:extLst>
              <c:f>'Vent '!$R$3:$R$7</c:f>
              <c:numCache>
                <c:formatCode>h:mm</c:formatCode>
                <c:ptCount val="5"/>
                <c:pt idx="0">
                  <c:v>0</c:v>
                </c:pt>
                <c:pt idx="1">
                  <c:v>1.1805555555555625E-2</c:v>
                </c:pt>
                <c:pt idx="2">
                  <c:v>8.3333333333333037E-3</c:v>
                </c:pt>
                <c:pt idx="3">
                  <c:v>1.736111111111116E-2</c:v>
                </c:pt>
                <c:pt idx="4">
                  <c:v>1.2500000000000067E-2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'Vent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'!$S$3:$S$7</c15:sqref>
                  </c15:fullRef>
                </c:ext>
              </c:extLst>
              <c:f>'Vent '!$S$3:$S$7</c:f>
              <c:numCache>
                <c:formatCode>h:mm</c:formatCode>
                <c:ptCount val="5"/>
                <c:pt idx="0">
                  <c:v>0</c:v>
                </c:pt>
                <c:pt idx="1">
                  <c:v>0.21875</c:v>
                </c:pt>
                <c:pt idx="2">
                  <c:v>0.20625000000000004</c:v>
                </c:pt>
                <c:pt idx="3">
                  <c:v>0.22222222222222221</c:v>
                </c:pt>
                <c:pt idx="4">
                  <c:v>0.21805555555555556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'Vent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'!$T$3:$T$7</c15:sqref>
                  </c15:fullRef>
                </c:ext>
              </c:extLst>
              <c:f>'Vent '!$T$3:$T$7</c:f>
              <c:numCache>
                <c:formatCode>h:mm</c:formatCode>
                <c:ptCount val="5"/>
                <c:pt idx="0">
                  <c:v>0</c:v>
                </c:pt>
                <c:pt idx="1">
                  <c:v>9.0277777777777457E-3</c:v>
                </c:pt>
                <c:pt idx="2">
                  <c:v>5.5555555555555358E-3</c:v>
                </c:pt>
                <c:pt idx="3">
                  <c:v>6.9444444444444198E-3</c:v>
                </c:pt>
                <c:pt idx="4">
                  <c:v>9.0277777777777457E-3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'Vent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'!$U$3:$U$7</c15:sqref>
                  </c15:fullRef>
                </c:ext>
              </c:extLst>
              <c:f>'Vent '!$U$3:$U$7</c:f>
              <c:numCache>
                <c:formatCode>h:mm</c:formatCode>
                <c:ptCount val="5"/>
                <c:pt idx="0">
                  <c:v>0</c:v>
                </c:pt>
                <c:pt idx="1">
                  <c:v>3.125E-2</c:v>
                </c:pt>
                <c:pt idx="2">
                  <c:v>3.125E-2</c:v>
                </c:pt>
                <c:pt idx="3">
                  <c:v>2.2916666666666585E-2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'Vent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'!$V$3:$V$7</c15:sqref>
                  </c15:fullRef>
                </c:ext>
              </c:extLst>
              <c:f>'Vent '!$V$3:$V$7</c:f>
              <c:numCache>
                <c:formatCode>h:mm</c:formatCode>
                <c:ptCount val="5"/>
                <c:pt idx="0">
                  <c:v>0</c:v>
                </c:pt>
                <c:pt idx="1">
                  <c:v>3.4722222222222321E-2</c:v>
                </c:pt>
                <c:pt idx="2">
                  <c:v>4.513888888888884E-2</c:v>
                </c:pt>
                <c:pt idx="3">
                  <c:v>2.9166666666666674E-2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2536"/>
        <c:axId val="666004888"/>
      </c:barChart>
      <c:lineChart>
        <c:grouping val="standard"/>
        <c:varyColors val="0"/>
        <c:ser>
          <c:idx val="5"/>
          <c:order val="7"/>
          <c:tx>
            <c:strRef>
              <c:f>'Vent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'!$W$3:$W$14</c15:sqref>
                  </c15:fullRef>
                </c:ext>
              </c:extLst>
              <c:f>'Vent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'Vent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'!$X$3:$X$14</c15:sqref>
                  </c15:fullRef>
                </c:ext>
              </c:extLst>
              <c:f>'Vent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'Vent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'!$Y$3:$Y$14</c15:sqref>
                  </c15:fullRef>
                </c:ext>
              </c:extLst>
              <c:f>'Vent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'Vent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'!$Z$3:$Z$14</c15:sqref>
                  </c15:fullRef>
                </c:ext>
              </c:extLst>
              <c:f>'Vent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'Vent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'!$AA$3:$AA$7</c15:sqref>
                  </c15:fullRef>
                </c:ext>
              </c:extLst>
              <c:f>'Vent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'Vent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'!$AB$3:$AB$14</c15:sqref>
                  </c15:fullRef>
                </c:ext>
              </c:extLst>
              <c:f>'Vent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'Vent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'!$AC$3:$AC$14</c15:sqref>
                  </c15:fullRef>
                </c:ext>
              </c:extLst>
              <c:f>'Vent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008"/>
        <c:axId val="665998616"/>
      </c:lineChart>
      <c:catAx>
        <c:axId val="66600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4888"/>
        <c:crossesAt val="0"/>
        <c:auto val="1"/>
        <c:lblAlgn val="ctr"/>
        <c:lblOffset val="60"/>
        <c:noMultiLvlLbl val="0"/>
      </c:catAx>
      <c:valAx>
        <c:axId val="666004888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2536"/>
        <c:crosses val="autoZero"/>
        <c:crossBetween val="between"/>
        <c:majorUnit val="4.1600000000000012E-2"/>
        <c:minorUnit val="8.3300000000000023E-3"/>
      </c:valAx>
      <c:valAx>
        <c:axId val="6659986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008"/>
        <c:crosses val="max"/>
        <c:crossBetween val="between"/>
        <c:majorUnit val="4.1600000000000012E-2"/>
      </c:valAx>
      <c:catAx>
        <c:axId val="6659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6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 M'!$P$2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M'!$P$3:$P$7</c15:sqref>
                  </c15:fullRef>
                </c:ext>
              </c:extLst>
              <c:f>'P M'!$P$3:$P$7</c:f>
              <c:numCache>
                <c:formatCode>h:mm</c:formatCode>
                <c:ptCount val="5"/>
                <c:pt idx="0">
                  <c:v>0</c:v>
                </c:pt>
                <c:pt idx="1">
                  <c:v>0.3125</c:v>
                </c:pt>
                <c:pt idx="2">
                  <c:v>0.31597222222222221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 M'!$Q$2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M'!$Q$3:$Q$7</c15:sqref>
                  </c15:fullRef>
                </c:ext>
              </c:extLst>
              <c:f>'P M'!$Q$3:$Q$7</c:f>
              <c:numCache>
                <c:formatCode>h:mm</c:formatCode>
                <c:ptCount val="5"/>
                <c:pt idx="0">
                  <c:v>0</c:v>
                </c:pt>
                <c:pt idx="1">
                  <c:v>2.0833333333333315E-2</c:v>
                </c:pt>
                <c:pt idx="2">
                  <c:v>2.083333333333337E-2</c:v>
                </c:pt>
                <c:pt idx="3">
                  <c:v>2.0833333333333315E-2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 M'!$R$2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M'!$R$3:$R$7</c15:sqref>
                  </c15:fullRef>
                </c:ext>
              </c:extLst>
              <c:f>'P M'!$R$3:$R$7</c:f>
              <c:numCache>
                <c:formatCode>h:mm</c:formatCode>
                <c:ptCount val="5"/>
                <c:pt idx="0">
                  <c:v>0</c:v>
                </c:pt>
                <c:pt idx="1">
                  <c:v>1.3888888888888951E-2</c:v>
                </c:pt>
                <c:pt idx="2">
                  <c:v>1.388888888888884E-2</c:v>
                </c:pt>
                <c:pt idx="3">
                  <c:v>2.083333333333337E-2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 M'!$S$2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M'!$S$3:$S$7</c15:sqref>
                  </c15:fullRef>
                </c:ext>
              </c:extLst>
              <c:f>'P M'!$S$3:$S$7</c:f>
              <c:numCache>
                <c:formatCode>h:mm</c:formatCode>
                <c:ptCount val="5"/>
                <c:pt idx="0">
                  <c:v>0</c:v>
                </c:pt>
                <c:pt idx="1">
                  <c:v>0.23958333333333331</c:v>
                </c:pt>
                <c:pt idx="2">
                  <c:v>0.25</c:v>
                </c:pt>
                <c:pt idx="3">
                  <c:v>0.21597222222222218</c:v>
                </c:pt>
                <c:pt idx="4">
                  <c:v>0.18749999999999994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 M'!$T$2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M'!$T$3:$T$7</c15:sqref>
                  </c15:fullRef>
                </c:ext>
              </c:extLst>
              <c:f>'P M'!$T$3:$T$7</c:f>
              <c:numCache>
                <c:formatCode>h:mm</c:formatCode>
                <c:ptCount val="5"/>
                <c:pt idx="0">
                  <c:v>0</c:v>
                </c:pt>
                <c:pt idx="1">
                  <c:v>1.388888888888884E-2</c:v>
                </c:pt>
                <c:pt idx="2">
                  <c:v>1.3888888888888951E-2</c:v>
                </c:pt>
                <c:pt idx="3">
                  <c:v>1.6666666666666718E-2</c:v>
                </c:pt>
                <c:pt idx="4">
                  <c:v>1.3888888888888951E-2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 M'!$U$2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M'!$U$3:$U$7</c15:sqref>
                  </c15:fullRef>
                </c:ext>
              </c:extLst>
              <c:f>'P M'!$U$3:$U$7</c:f>
              <c:numCache>
                <c:formatCode>h:mm</c:formatCode>
                <c:ptCount val="5"/>
                <c:pt idx="0">
                  <c:v>0</c:v>
                </c:pt>
                <c:pt idx="1">
                  <c:v>2.430555555555558E-2</c:v>
                </c:pt>
                <c:pt idx="2">
                  <c:v>2.2916666666666696E-2</c:v>
                </c:pt>
                <c:pt idx="3">
                  <c:v>2.777777777777779E-2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 M'!$V$2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M'!$V$3:$V$7</c15:sqref>
                  </c15:fullRef>
                </c:ext>
              </c:extLst>
              <c:f>'P M'!$V$3:$V$7</c:f>
              <c:numCache>
                <c:formatCode>h:mm</c:formatCode>
                <c:ptCount val="5"/>
                <c:pt idx="0">
                  <c:v>0</c:v>
                </c:pt>
                <c:pt idx="1">
                  <c:v>2.7777777777778012E-2</c:v>
                </c:pt>
                <c:pt idx="2">
                  <c:v>1.5277777777777946E-2</c:v>
                </c:pt>
                <c:pt idx="3">
                  <c:v>3.819444444444442E-2</c:v>
                </c:pt>
                <c:pt idx="4">
                  <c:v>7.2916666666666741E-2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320"/>
        <c:axId val="665999400"/>
      </c:barChart>
      <c:lineChart>
        <c:grouping val="standard"/>
        <c:varyColors val="0"/>
        <c:ser>
          <c:idx val="5"/>
          <c:order val="7"/>
          <c:tx>
            <c:strRef>
              <c:f>'P M'!$W$2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M'!$W$3:$W$14</c15:sqref>
                  </c15:fullRef>
                </c:ext>
              </c:extLst>
              <c:f>'P M'!$W$3:$W$7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 M'!$X$2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M'!$X$3:$X$14</c15:sqref>
                  </c15:fullRef>
                </c:ext>
              </c:extLst>
              <c:f>'P M'!$X$3:$X$7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 M'!$Y$2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M'!$Y$3:$Y$14</c15:sqref>
                  </c15:fullRef>
                </c:ext>
              </c:extLst>
              <c:f>'P M'!$Y$3:$Y$7</c:f>
              <c:numCache>
                <c:formatCode>h:mm</c:formatCode>
                <c:ptCount val="5"/>
                <c:pt idx="0">
                  <c:v>0.36458333333333331</c:v>
                </c:pt>
                <c:pt idx="1">
                  <c:v>0.36458333333333331</c:v>
                </c:pt>
                <c:pt idx="2">
                  <c:v>0.36458333333333331</c:v>
                </c:pt>
                <c:pt idx="3">
                  <c:v>0.36458333333333331</c:v>
                </c:pt>
                <c:pt idx="4">
                  <c:v>0.36458333333333331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 M'!$Z$2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M'!$Z$3:$Z$14</c15:sqref>
                  </c15:fullRef>
                </c:ext>
              </c:extLst>
              <c:f>'P M'!$Z$3:$Z$7</c:f>
              <c:numCache>
                <c:formatCode>h:mm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 M'!$AA$2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M'!$AA$3:$AA$7</c15:sqref>
                  </c15:fullRef>
                </c:ext>
              </c:extLst>
              <c:f>'P M'!$AA$3:$AA$7</c:f>
              <c:numCache>
                <c:formatCode>h:mm</c:formatCode>
                <c:ptCount val="5"/>
                <c:pt idx="0">
                  <c:v>0.61111111111111105</c:v>
                </c:pt>
                <c:pt idx="1">
                  <c:v>0.61111111111111105</c:v>
                </c:pt>
                <c:pt idx="2">
                  <c:v>0.61111111111111105</c:v>
                </c:pt>
                <c:pt idx="3">
                  <c:v>0.61111111111111105</c:v>
                </c:pt>
                <c:pt idx="4">
                  <c:v>0.61111111111111105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 M'!$AB$2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M'!$AB$3:$AB$14</c15:sqref>
                  </c15:fullRef>
                </c:ext>
              </c:extLst>
              <c:f>'P M'!$AB$3:$AB$7</c:f>
              <c:numCache>
                <c:formatCode>h:mm</c:formatCode>
                <c:ptCount val="5"/>
                <c:pt idx="0">
                  <c:v>0.61805555555555558</c:v>
                </c:pt>
                <c:pt idx="1">
                  <c:v>0.61805555555555558</c:v>
                </c:pt>
                <c:pt idx="2">
                  <c:v>0.61805555555555558</c:v>
                </c:pt>
                <c:pt idx="3">
                  <c:v>0.61805555555555558</c:v>
                </c:pt>
                <c:pt idx="4">
                  <c:v>0.61805555555555558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 M'!$AC$2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M'!$AC$3:$AC$14</c15:sqref>
                  </c15:fullRef>
                </c:ext>
              </c:extLst>
              <c:f>'P M'!$AC$3:$AC$7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792"/>
        <c:axId val="666004496"/>
      </c:lineChart>
      <c:catAx>
        <c:axId val="66600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400"/>
        <c:crossesAt val="0"/>
        <c:auto val="1"/>
        <c:lblAlgn val="ctr"/>
        <c:lblOffset val="60"/>
        <c:noMultiLvlLbl val="0"/>
      </c:catAx>
      <c:valAx>
        <c:axId val="66599940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320"/>
        <c:crosses val="autoZero"/>
        <c:crossBetween val="between"/>
        <c:majorUnit val="4.1600000000000012E-2"/>
        <c:minorUnit val="8.3300000000000023E-3"/>
      </c:valAx>
      <c:valAx>
        <c:axId val="66600449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792"/>
        <c:crosses val="max"/>
        <c:crossBetween val="between"/>
        <c:majorUnit val="4.1600000000000012E-2"/>
      </c:valAx>
      <c:catAx>
        <c:axId val="66599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449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969735</xdr:colOff>
      <xdr:row>17</xdr:row>
      <xdr:rowOff>7028</xdr:rowOff>
    </xdr:from>
    <xdr:to>
      <xdr:col>16</xdr:col>
      <xdr:colOff>1028700</xdr:colOff>
      <xdr:row>52</xdr:row>
      <xdr:rowOff>173717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516391</xdr:colOff>
      <xdr:row>51</xdr:row>
      <xdr:rowOff>177799</xdr:rowOff>
    </xdr:from>
    <xdr:to>
      <xdr:col>11</xdr:col>
      <xdr:colOff>1054100</xdr:colOff>
      <xdr:row>53</xdr:row>
      <xdr:rowOff>65316</xdr:rowOff>
    </xdr:to>
    <xdr:sp macro="" textlink="G19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638791" y="10985499"/>
          <a:ext cx="537709" cy="293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10</xdr:col>
      <xdr:colOff>2027916</xdr:colOff>
      <xdr:row>51</xdr:row>
      <xdr:rowOff>177800</xdr:rowOff>
    </xdr:from>
    <xdr:to>
      <xdr:col>11</xdr:col>
      <xdr:colOff>25400</xdr:colOff>
      <xdr:row>53</xdr:row>
      <xdr:rowOff>54430</xdr:rowOff>
    </xdr:to>
    <xdr:sp macro="" textlink="G18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3572216" y="10985500"/>
          <a:ext cx="575584" cy="283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5:59</a:t>
          </a:fld>
          <a:endParaRPr lang="es-CL" sz="1050"/>
        </a:p>
      </xdr:txBody>
    </xdr:sp>
    <xdr:clientData/>
  </xdr:twoCellAnchor>
  <xdr:twoCellAnchor>
    <xdr:from>
      <xdr:col>12</xdr:col>
      <xdr:colOff>657859</xdr:colOff>
      <xdr:row>51</xdr:row>
      <xdr:rowOff>177800</xdr:rowOff>
    </xdr:from>
    <xdr:to>
      <xdr:col>13</xdr:col>
      <xdr:colOff>317500</xdr:colOff>
      <xdr:row>53</xdr:row>
      <xdr:rowOff>39916</xdr:rowOff>
    </xdr:to>
    <xdr:sp macro="" textlink="G20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948659" y="10985500"/>
          <a:ext cx="5105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14</xdr:col>
      <xdr:colOff>325665</xdr:colOff>
      <xdr:row>41</xdr:row>
      <xdr:rowOff>80738</xdr:rowOff>
    </xdr:from>
    <xdr:to>
      <xdr:col>16</xdr:col>
      <xdr:colOff>38100</xdr:colOff>
      <xdr:row>42</xdr:row>
      <xdr:rowOff>135164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318265" y="8856438"/>
          <a:ext cx="21762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TENIENTE 6 ESMERALDA ACARREO</a:t>
          </a:r>
        </a:p>
      </xdr:txBody>
    </xdr:sp>
    <xdr:clientData/>
  </xdr:twoCellAnchor>
  <xdr:twoCellAnchor>
    <xdr:from>
      <xdr:col>15</xdr:col>
      <xdr:colOff>484412</xdr:colOff>
      <xdr:row>44</xdr:row>
      <xdr:rowOff>19958</xdr:rowOff>
    </xdr:from>
    <xdr:to>
      <xdr:col>15</xdr:col>
      <xdr:colOff>1042305</xdr:colOff>
      <xdr:row>45</xdr:row>
      <xdr:rowOff>115208</xdr:rowOff>
    </xdr:to>
    <xdr:sp macro="" textlink="G21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785112" y="94052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15</xdr:col>
      <xdr:colOff>484412</xdr:colOff>
      <xdr:row>46</xdr:row>
      <xdr:rowOff>122466</xdr:rowOff>
    </xdr:from>
    <xdr:to>
      <xdr:col>15</xdr:col>
      <xdr:colOff>1042305</xdr:colOff>
      <xdr:row>48</xdr:row>
      <xdr:rowOff>13609</xdr:rowOff>
    </xdr:to>
    <xdr:sp macro="" textlink="G22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785112" y="99141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470805</xdr:colOff>
      <xdr:row>49</xdr:row>
      <xdr:rowOff>37194</xdr:rowOff>
    </xdr:from>
    <xdr:to>
      <xdr:col>15</xdr:col>
      <xdr:colOff>1028698</xdr:colOff>
      <xdr:row>50</xdr:row>
      <xdr:rowOff>132444</xdr:rowOff>
    </xdr:to>
    <xdr:sp macro="" textlink="G23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771505" y="104384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14</xdr:col>
      <xdr:colOff>559706</xdr:colOff>
      <xdr:row>44</xdr:row>
      <xdr:rowOff>29030</xdr:rowOff>
    </xdr:from>
    <xdr:to>
      <xdr:col>15</xdr:col>
      <xdr:colOff>397328</xdr:colOff>
      <xdr:row>45</xdr:row>
      <xdr:rowOff>135165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552306" y="9414330"/>
          <a:ext cx="11457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14</xdr:col>
      <xdr:colOff>589642</xdr:colOff>
      <xdr:row>46</xdr:row>
      <xdr:rowOff>58965</xdr:rowOff>
    </xdr:from>
    <xdr:to>
      <xdr:col>15</xdr:col>
      <xdr:colOff>427264</xdr:colOff>
      <xdr:row>47</xdr:row>
      <xdr:rowOff>165101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582242" y="9850665"/>
          <a:ext cx="11457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14</xdr:col>
      <xdr:colOff>565149</xdr:colOff>
      <xdr:row>49</xdr:row>
      <xdr:rowOff>8168</xdr:rowOff>
    </xdr:from>
    <xdr:to>
      <xdr:col>15</xdr:col>
      <xdr:colOff>402771</xdr:colOff>
      <xdr:row>50</xdr:row>
      <xdr:rowOff>113395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557749" y="10409468"/>
          <a:ext cx="11457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51</xdr:row>
      <xdr:rowOff>171452</xdr:rowOff>
    </xdr:from>
    <xdr:to>
      <xdr:col>10</xdr:col>
      <xdr:colOff>285750</xdr:colOff>
      <xdr:row>53</xdr:row>
      <xdr:rowOff>62595</xdr:rowOff>
    </xdr:to>
    <xdr:sp macro="" textlink="G16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253107" y="10921095"/>
          <a:ext cx="557893" cy="299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10</xdr:col>
      <xdr:colOff>972229</xdr:colOff>
      <xdr:row>51</xdr:row>
      <xdr:rowOff>185966</xdr:rowOff>
    </xdr:from>
    <xdr:to>
      <xdr:col>10</xdr:col>
      <xdr:colOff>1530122</xdr:colOff>
      <xdr:row>53</xdr:row>
      <xdr:rowOff>78016</xdr:rowOff>
    </xdr:to>
    <xdr:sp macro="" textlink="G17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16529" y="10993666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484429" y="3347357"/>
          <a:ext cx="5275035" cy="755656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1130301</xdr:colOff>
      <xdr:row>31</xdr:row>
      <xdr:rowOff>76200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859627"/>
          <a:ext cx="440690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12700</xdr:rowOff>
    </xdr:from>
    <xdr:to>
      <xdr:col>6</xdr:col>
      <xdr:colOff>151275</xdr:colOff>
      <xdr:row>42</xdr:row>
      <xdr:rowOff>27225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5100" y="5537200"/>
          <a:ext cx="4608975" cy="34689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278855</xdr:colOff>
      <xdr:row>17</xdr:row>
      <xdr:rowOff>7028</xdr:rowOff>
    </xdr:from>
    <xdr:to>
      <xdr:col>20</xdr:col>
      <xdr:colOff>825500</xdr:colOff>
      <xdr:row>52</xdr:row>
      <xdr:rowOff>173717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 flipH="1">
          <a:off x="1291159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6:18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 flipH="1">
          <a:off x="1169261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5:31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 flipH="1">
          <a:off x="1395729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1541580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AIRE ACONDICIONADO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 txBox="1"/>
      </xdr:nvSpPr>
      <xdr:spPr>
        <a:xfrm>
          <a:off x="1656769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6:06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 txBox="1"/>
      </xdr:nvSpPr>
      <xdr:spPr>
        <a:xfrm>
          <a:off x="1656769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 txBox="1"/>
      </xdr:nvSpPr>
      <xdr:spPr>
        <a:xfrm>
          <a:off x="1655408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102%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/>
      </xdr:nvSpPr>
      <xdr:spPr>
        <a:xfrm>
          <a:off x="1557364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/>
      </xdr:nvSpPr>
      <xdr:spPr>
        <a:xfrm>
          <a:off x="1557310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/>
      </xdr:nvSpPr>
      <xdr:spPr>
        <a:xfrm>
          <a:off x="1557908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>
          <a:off x="957797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1055818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6:34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939546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238761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24</xdr:row>
      <xdr:rowOff>177800</xdr:rowOff>
    </xdr:from>
    <xdr:to>
      <xdr:col>6</xdr:col>
      <xdr:colOff>760875</xdr:colOff>
      <xdr:row>41</xdr:row>
      <xdr:rowOff>192325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5689600"/>
          <a:ext cx="4608975" cy="3468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177255</xdr:colOff>
      <xdr:row>16</xdr:row>
      <xdr:rowOff>146728</xdr:rowOff>
    </xdr:from>
    <xdr:to>
      <xdr:col>21</xdr:col>
      <xdr:colOff>609600</xdr:colOff>
      <xdr:row>52</xdr:row>
      <xdr:rowOff>110217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381770</xdr:colOff>
      <xdr:row>50</xdr:row>
      <xdr:rowOff>101600</xdr:rowOff>
    </xdr:from>
    <xdr:to>
      <xdr:col>17</xdr:col>
      <xdr:colOff>38099</xdr:colOff>
      <xdr:row>51</xdr:row>
      <xdr:rowOff>154216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 flipH="1">
          <a:off x="14529570" y="10896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6:17</a:t>
          </a:fld>
          <a:endParaRPr lang="es-CL" sz="1050"/>
        </a:p>
      </xdr:txBody>
    </xdr:sp>
    <xdr:clientData/>
  </xdr:twoCellAnchor>
  <xdr:twoCellAnchor>
    <xdr:from>
      <xdr:col>15</xdr:col>
      <xdr:colOff>18776</xdr:colOff>
      <xdr:row>50</xdr:row>
      <xdr:rowOff>88900</xdr:rowOff>
    </xdr:from>
    <xdr:to>
      <xdr:col>15</xdr:col>
      <xdr:colOff>571500</xdr:colOff>
      <xdr:row>51</xdr:row>
      <xdr:rowOff>152400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 flipH="1">
          <a:off x="13315676" y="10883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17</xdr:col>
      <xdr:colOff>574039</xdr:colOff>
      <xdr:row>50</xdr:row>
      <xdr:rowOff>114300</xdr:rowOff>
    </xdr:from>
    <xdr:to>
      <xdr:col>18</xdr:col>
      <xdr:colOff>254000</xdr:colOff>
      <xdr:row>51</xdr:row>
      <xdr:rowOff>141516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 flipH="1">
          <a:off x="15572739" y="10909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6:19</a:t>
          </a:fld>
          <a:endParaRPr lang="es-CL" sz="1050"/>
        </a:p>
      </xdr:txBody>
    </xdr:sp>
    <xdr:clientData/>
  </xdr:twoCellAnchor>
  <xdr:twoCellAnchor>
    <xdr:from>
      <xdr:col>19</xdr:col>
      <xdr:colOff>249465</xdr:colOff>
      <xdr:row>41</xdr:row>
      <xdr:rowOff>68038</xdr:rowOff>
    </xdr:from>
    <xdr:to>
      <xdr:col>21</xdr:col>
      <xdr:colOff>292100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16949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COLECTORES DE POLVO</a:t>
          </a:r>
        </a:p>
      </xdr:txBody>
    </xdr:sp>
    <xdr:clientData/>
  </xdr:twoCellAnchor>
  <xdr:twoCellAnchor>
    <xdr:from>
      <xdr:col>20</xdr:col>
      <xdr:colOff>433612</xdr:colOff>
      <xdr:row>44</xdr:row>
      <xdr:rowOff>7258</xdr:rowOff>
    </xdr:from>
    <xdr:to>
      <xdr:col>21</xdr:col>
      <xdr:colOff>140605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/>
      </xdr:nvSpPr>
      <xdr:spPr>
        <a:xfrm>
          <a:off x="18099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6:17</a:t>
          </a:fld>
          <a:endParaRPr lang="es-CL" sz="1050"/>
        </a:p>
      </xdr:txBody>
    </xdr:sp>
    <xdr:clientData/>
  </xdr:twoCellAnchor>
  <xdr:twoCellAnchor>
    <xdr:from>
      <xdr:col>20</xdr:col>
      <xdr:colOff>433612</xdr:colOff>
      <xdr:row>46</xdr:row>
      <xdr:rowOff>109766</xdr:rowOff>
    </xdr:from>
    <xdr:to>
      <xdr:col>21</xdr:col>
      <xdr:colOff>140605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/>
      </xdr:nvSpPr>
      <xdr:spPr>
        <a:xfrm>
          <a:off x="18099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420005</xdr:colOff>
      <xdr:row>49</xdr:row>
      <xdr:rowOff>24494</xdr:rowOff>
    </xdr:from>
    <xdr:to>
      <xdr:col>21</xdr:col>
      <xdr:colOff>126998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18085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105%</a:t>
          </a:fld>
          <a:endParaRPr lang="es-CL" sz="1050"/>
        </a:p>
      </xdr:txBody>
    </xdr:sp>
    <xdr:clientData/>
  </xdr:twoCellAnchor>
  <xdr:twoCellAnchor>
    <xdr:from>
      <xdr:col>19</xdr:col>
      <xdr:colOff>407306</xdr:colOff>
      <xdr:row>44</xdr:row>
      <xdr:rowOff>16330</xdr:rowOff>
    </xdr:from>
    <xdr:to>
      <xdr:col>20</xdr:col>
      <xdr:colOff>346528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17107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406762</xdr:colOff>
      <xdr:row>46</xdr:row>
      <xdr:rowOff>46265</xdr:rowOff>
    </xdr:from>
    <xdr:to>
      <xdr:col>20</xdr:col>
      <xdr:colOff>376464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17107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412749</xdr:colOff>
      <xdr:row>48</xdr:row>
      <xdr:rowOff>198668</xdr:rowOff>
    </xdr:from>
    <xdr:to>
      <xdr:col>20</xdr:col>
      <xdr:colOff>351971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17113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461917</xdr:colOff>
      <xdr:row>50</xdr:row>
      <xdr:rowOff>76200</xdr:rowOff>
    </xdr:from>
    <xdr:to>
      <xdr:col>13</xdr:col>
      <xdr:colOff>114300</xdr:colOff>
      <xdr:row>51</xdr:row>
      <xdr:rowOff>169275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11206117" y="108712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13</xdr:col>
      <xdr:colOff>588689</xdr:colOff>
      <xdr:row>50</xdr:row>
      <xdr:rowOff>101600</xdr:rowOff>
    </xdr:from>
    <xdr:to>
      <xdr:col>14</xdr:col>
      <xdr:colOff>203200</xdr:colOff>
      <xdr:row>51</xdr:row>
      <xdr:rowOff>154216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12183789" y="10896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9616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0</xdr:colOff>
      <xdr:row>24</xdr:row>
      <xdr:rowOff>190500</xdr:rowOff>
    </xdr:from>
    <xdr:to>
      <xdr:col>6</xdr:col>
      <xdr:colOff>811675</xdr:colOff>
      <xdr:row>42</xdr:row>
      <xdr:rowOff>1825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1800" y="5702300"/>
          <a:ext cx="4608975" cy="3468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75655</xdr:colOff>
      <xdr:row>15</xdr:row>
      <xdr:rowOff>172128</xdr:rowOff>
    </xdr:from>
    <xdr:to>
      <xdr:col>21</xdr:col>
      <xdr:colOff>622300</xdr:colOff>
      <xdr:row>51</xdr:row>
      <xdr:rowOff>135617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407170</xdr:colOff>
      <xdr:row>49</xdr:row>
      <xdr:rowOff>88900</xdr:rowOff>
    </xdr:from>
    <xdr:to>
      <xdr:col>17</xdr:col>
      <xdr:colOff>63499</xdr:colOff>
      <xdr:row>50</xdr:row>
      <xdr:rowOff>141516</xdr:rowOff>
    </xdr:to>
    <xdr:sp macro="" textlink="G19">
      <xdr:nvSpPr>
        <xdr:cNvPr id="25" name="CuadroTexto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 flipH="1">
          <a:off x="14720070" y="106807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6:55</a:t>
          </a:fld>
          <a:endParaRPr lang="es-CL" sz="1050"/>
        </a:p>
      </xdr:txBody>
    </xdr:sp>
    <xdr:clientData/>
  </xdr:twoCellAnchor>
  <xdr:twoCellAnchor>
    <xdr:from>
      <xdr:col>15</xdr:col>
      <xdr:colOff>44176</xdr:colOff>
      <xdr:row>49</xdr:row>
      <xdr:rowOff>76200</xdr:rowOff>
    </xdr:from>
    <xdr:to>
      <xdr:col>15</xdr:col>
      <xdr:colOff>596900</xdr:colOff>
      <xdr:row>50</xdr:row>
      <xdr:rowOff>139700</xdr:rowOff>
    </xdr:to>
    <xdr:sp macro="" textlink="G18">
      <xdr:nvSpPr>
        <xdr:cNvPr id="26" name="CuadroTexto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 flipH="1">
          <a:off x="13506176" y="106680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6:52</a:t>
          </a:fld>
          <a:endParaRPr lang="es-CL" sz="1050"/>
        </a:p>
      </xdr:txBody>
    </xdr:sp>
    <xdr:clientData/>
  </xdr:twoCellAnchor>
  <xdr:twoCellAnchor>
    <xdr:from>
      <xdr:col>17</xdr:col>
      <xdr:colOff>599439</xdr:colOff>
      <xdr:row>49</xdr:row>
      <xdr:rowOff>101600</xdr:rowOff>
    </xdr:from>
    <xdr:to>
      <xdr:col>18</xdr:col>
      <xdr:colOff>279400</xdr:colOff>
      <xdr:row>50</xdr:row>
      <xdr:rowOff>128816</xdr:rowOff>
    </xdr:to>
    <xdr:sp macro="" textlink="G20">
      <xdr:nvSpPr>
        <xdr:cNvPr id="27" name="CuadroTexto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 flipH="1">
          <a:off x="15763239" y="106934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19</xdr:col>
      <xdr:colOff>211365</xdr:colOff>
      <xdr:row>41</xdr:row>
      <xdr:rowOff>68038</xdr:rowOff>
    </xdr:from>
    <xdr:to>
      <xdr:col>21</xdr:col>
      <xdr:colOff>368300</xdr:colOff>
      <xdr:row>42</xdr:row>
      <xdr:rowOff>122464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17076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TALLER</a:t>
          </a:r>
          <a:r>
            <a:rPr lang="es-CL" sz="1100" baseline="0"/>
            <a:t> </a:t>
          </a:r>
          <a:r>
            <a:rPr lang="es-CL" sz="1100"/>
            <a:t>LA JUNTA</a:t>
          </a:r>
        </a:p>
      </xdr:txBody>
    </xdr:sp>
    <xdr:clientData/>
  </xdr:twoCellAnchor>
  <xdr:twoCellAnchor>
    <xdr:from>
      <xdr:col>20</xdr:col>
      <xdr:colOff>509812</xdr:colOff>
      <xdr:row>44</xdr:row>
      <xdr:rowOff>7258</xdr:rowOff>
    </xdr:from>
    <xdr:to>
      <xdr:col>21</xdr:col>
      <xdr:colOff>216805</xdr:colOff>
      <xdr:row>45</xdr:row>
      <xdr:rowOff>102508</xdr:rowOff>
    </xdr:to>
    <xdr:sp macro="" textlink="G21">
      <xdr:nvSpPr>
        <xdr:cNvPr id="29" name="CuadroTexto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 txBox="1"/>
      </xdr:nvSpPr>
      <xdr:spPr>
        <a:xfrm>
          <a:off x="18226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6:56</a:t>
          </a:fld>
          <a:endParaRPr lang="es-CL" sz="1050"/>
        </a:p>
      </xdr:txBody>
    </xdr:sp>
    <xdr:clientData/>
  </xdr:twoCellAnchor>
  <xdr:twoCellAnchor>
    <xdr:from>
      <xdr:col>20</xdr:col>
      <xdr:colOff>509812</xdr:colOff>
      <xdr:row>46</xdr:row>
      <xdr:rowOff>109766</xdr:rowOff>
    </xdr:from>
    <xdr:to>
      <xdr:col>21</xdr:col>
      <xdr:colOff>216805</xdr:colOff>
      <xdr:row>48</xdr:row>
      <xdr:rowOff>909</xdr:rowOff>
    </xdr:to>
    <xdr:sp macro="" textlink="G22">
      <xdr:nvSpPr>
        <xdr:cNvPr id="30" name="CuadroTexto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18226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20</xdr:col>
      <xdr:colOff>496205</xdr:colOff>
      <xdr:row>49</xdr:row>
      <xdr:rowOff>24494</xdr:rowOff>
    </xdr:from>
    <xdr:to>
      <xdr:col>21</xdr:col>
      <xdr:colOff>203198</xdr:colOff>
      <xdr:row>50</xdr:row>
      <xdr:rowOff>119744</xdr:rowOff>
    </xdr:to>
    <xdr:sp macro="" textlink="G23">
      <xdr:nvSpPr>
        <xdr:cNvPr id="31" name="CuadroTexto 30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SpPr txBox="1"/>
      </xdr:nvSpPr>
      <xdr:spPr>
        <a:xfrm>
          <a:off x="18212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19</xdr:col>
      <xdr:colOff>369206</xdr:colOff>
      <xdr:row>44</xdr:row>
      <xdr:rowOff>16330</xdr:rowOff>
    </xdr:from>
    <xdr:to>
      <xdr:col>20</xdr:col>
      <xdr:colOff>422728</xdr:colOff>
      <xdr:row>45</xdr:row>
      <xdr:rowOff>122465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SpPr txBox="1"/>
      </xdr:nvSpPr>
      <xdr:spPr>
        <a:xfrm>
          <a:off x="17234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368662</xdr:colOff>
      <xdr:row>46</xdr:row>
      <xdr:rowOff>46265</xdr:rowOff>
    </xdr:from>
    <xdr:to>
      <xdr:col>20</xdr:col>
      <xdr:colOff>452664</xdr:colOff>
      <xdr:row>47</xdr:row>
      <xdr:rowOff>152401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SpPr txBox="1"/>
      </xdr:nvSpPr>
      <xdr:spPr>
        <a:xfrm>
          <a:off x="17234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374649</xdr:colOff>
      <xdr:row>48</xdr:row>
      <xdr:rowOff>198668</xdr:rowOff>
    </xdr:from>
    <xdr:to>
      <xdr:col>20</xdr:col>
      <xdr:colOff>428171</xdr:colOff>
      <xdr:row>50</xdr:row>
      <xdr:rowOff>100695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SpPr txBox="1"/>
      </xdr:nvSpPr>
      <xdr:spPr>
        <a:xfrm>
          <a:off x="17240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487317</xdr:colOff>
      <xdr:row>49</xdr:row>
      <xdr:rowOff>63500</xdr:rowOff>
    </xdr:from>
    <xdr:to>
      <xdr:col>13</xdr:col>
      <xdr:colOff>139700</xdr:colOff>
      <xdr:row>50</xdr:row>
      <xdr:rowOff>156575</xdr:rowOff>
    </xdr:to>
    <xdr:sp macro="" textlink="G16">
      <xdr:nvSpPr>
        <xdr:cNvPr id="35" name="CuadroTexto 34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SpPr txBox="1"/>
      </xdr:nvSpPr>
      <xdr:spPr>
        <a:xfrm>
          <a:off x="11396617" y="106553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13</xdr:col>
      <xdr:colOff>614089</xdr:colOff>
      <xdr:row>49</xdr:row>
      <xdr:rowOff>88900</xdr:rowOff>
    </xdr:from>
    <xdr:to>
      <xdr:col>14</xdr:col>
      <xdr:colOff>228600</xdr:colOff>
      <xdr:row>50</xdr:row>
      <xdr:rowOff>141516</xdr:rowOff>
    </xdr:to>
    <xdr:sp macro="" textlink="G17">
      <xdr:nvSpPr>
        <xdr:cNvPr id="36" name="CuadroTexto 35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SpPr txBox="1"/>
      </xdr:nvSpPr>
      <xdr:spPr>
        <a:xfrm>
          <a:off x="12374289" y="106807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7" name="CuadroTexto 17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SpPr txBox="1"/>
      </xdr:nvSpPr>
      <xdr:spPr>
        <a:xfrm>
          <a:off x="90678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416561</xdr:colOff>
      <xdr:row>31</xdr:row>
      <xdr:rowOff>76200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76200</xdr:rowOff>
    </xdr:from>
    <xdr:to>
      <xdr:col>6</xdr:col>
      <xdr:colOff>862475</xdr:colOff>
      <xdr:row>41</xdr:row>
      <xdr:rowOff>90725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88000"/>
          <a:ext cx="4608975" cy="34689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824955</xdr:colOff>
      <xdr:row>16</xdr:row>
      <xdr:rowOff>70528</xdr:rowOff>
    </xdr:from>
    <xdr:to>
      <xdr:col>21</xdr:col>
      <xdr:colOff>520700</xdr:colOff>
      <xdr:row>52</xdr:row>
      <xdr:rowOff>34017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 flipH="1">
          <a:off x="12751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 flipH="1">
          <a:off x="11532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 flipH="1">
          <a:off x="13797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19</xdr:col>
      <xdr:colOff>20865</xdr:colOff>
      <xdr:row>41</xdr:row>
      <xdr:rowOff>68038</xdr:rowOff>
    </xdr:from>
    <xdr:to>
      <xdr:col>21</xdr:col>
      <xdr:colOff>177800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17102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 7 </a:t>
          </a:r>
        </a:p>
      </xdr:txBody>
    </xdr:sp>
    <xdr:clientData/>
  </xdr:twoCellAnchor>
  <xdr:twoCellAnchor>
    <xdr:from>
      <xdr:col>20</xdr:col>
      <xdr:colOff>319312</xdr:colOff>
      <xdr:row>44</xdr:row>
      <xdr:rowOff>7258</xdr:rowOff>
    </xdr:from>
    <xdr:to>
      <xdr:col>21</xdr:col>
      <xdr:colOff>26305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 txBox="1"/>
      </xdr:nvSpPr>
      <xdr:spPr>
        <a:xfrm>
          <a:off x="18251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20</xdr:col>
      <xdr:colOff>319312</xdr:colOff>
      <xdr:row>46</xdr:row>
      <xdr:rowOff>109766</xdr:rowOff>
    </xdr:from>
    <xdr:to>
      <xdr:col>21</xdr:col>
      <xdr:colOff>26305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 txBox="1"/>
      </xdr:nvSpPr>
      <xdr:spPr>
        <a:xfrm>
          <a:off x="18251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305705</xdr:colOff>
      <xdr:row>49</xdr:row>
      <xdr:rowOff>24494</xdr:rowOff>
    </xdr:from>
    <xdr:to>
      <xdr:col>21</xdr:col>
      <xdr:colOff>12698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 txBox="1"/>
      </xdr:nvSpPr>
      <xdr:spPr>
        <a:xfrm>
          <a:off x="18238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19</xdr:col>
      <xdr:colOff>178706</xdr:colOff>
      <xdr:row>44</xdr:row>
      <xdr:rowOff>16330</xdr:rowOff>
    </xdr:from>
    <xdr:to>
      <xdr:col>20</xdr:col>
      <xdr:colOff>232228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/>
      </xdr:nvSpPr>
      <xdr:spPr>
        <a:xfrm>
          <a:off x="17260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178162</xdr:colOff>
      <xdr:row>46</xdr:row>
      <xdr:rowOff>46265</xdr:rowOff>
    </xdr:from>
    <xdr:to>
      <xdr:col>20</xdr:col>
      <xdr:colOff>262164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/>
      </xdr:nvSpPr>
      <xdr:spPr>
        <a:xfrm>
          <a:off x="17259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184149</xdr:colOff>
      <xdr:row>48</xdr:row>
      <xdr:rowOff>198668</xdr:rowOff>
    </xdr:from>
    <xdr:to>
      <xdr:col>20</xdr:col>
      <xdr:colOff>237671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/>
      </xdr:nvSpPr>
      <xdr:spPr>
        <a:xfrm>
          <a:off x="17265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>
          <a:off x="9417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10398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9235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203201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710075</xdr:colOff>
      <xdr:row>41</xdr:row>
      <xdr:rowOff>14525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1244055</xdr:colOff>
      <xdr:row>16</xdr:row>
      <xdr:rowOff>134028</xdr:rowOff>
    </xdr:from>
    <xdr:to>
      <xdr:col>21</xdr:col>
      <xdr:colOff>736600</xdr:colOff>
      <xdr:row>52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139700</xdr:rowOff>
    </xdr:from>
    <xdr:to>
      <xdr:col>14</xdr:col>
      <xdr:colOff>139699</xdr:colOff>
      <xdr:row>52</xdr:row>
      <xdr:rowOff>192316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 flipH="1">
          <a:off x="13373870" y="111379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6:28</a:t>
          </a:fld>
          <a:endParaRPr lang="es-CL" sz="1050"/>
        </a:p>
      </xdr:txBody>
    </xdr:sp>
    <xdr:clientData/>
  </xdr:twoCellAnchor>
  <xdr:twoCellAnchor>
    <xdr:from>
      <xdr:col>12</xdr:col>
      <xdr:colOff>6076</xdr:colOff>
      <xdr:row>51</xdr:row>
      <xdr:rowOff>127000</xdr:rowOff>
    </xdr:from>
    <xdr:to>
      <xdr:col>12</xdr:col>
      <xdr:colOff>558800</xdr:colOff>
      <xdr:row>52</xdr:row>
      <xdr:rowOff>190500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 flipH="1">
          <a:off x="12045676" y="111252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6:17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 flipH="1">
          <a:off x="139344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153929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CHANCADO COLON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 txBox="1"/>
      </xdr:nvSpPr>
      <xdr:spPr>
        <a:xfrm>
          <a:off x="165448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6:17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 txBox="1"/>
      </xdr:nvSpPr>
      <xdr:spPr>
        <a:xfrm>
          <a:off x="165448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/>
      </xdr:nvSpPr>
      <xdr:spPr>
        <a:xfrm>
          <a:off x="165312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105%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/>
      </xdr:nvSpPr>
      <xdr:spPr>
        <a:xfrm>
          <a:off x="155507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155502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/>
      </xdr:nvSpPr>
      <xdr:spPr>
        <a:xfrm>
          <a:off x="155562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 txBox="1"/>
      </xdr:nvSpPr>
      <xdr:spPr>
        <a:xfrm>
          <a:off x="95551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10</xdr:col>
      <xdr:colOff>1528489</xdr:colOff>
      <xdr:row>51</xdr:row>
      <xdr:rowOff>165100</xdr:rowOff>
    </xdr:from>
    <xdr:to>
      <xdr:col>11</xdr:col>
      <xdr:colOff>25400</xdr:colOff>
      <xdr:row>53</xdr:row>
      <xdr:rowOff>14516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10748689" y="111633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93726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408941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671975</xdr:colOff>
      <xdr:row>41</xdr:row>
      <xdr:rowOff>14525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91440</xdr:colOff>
      <xdr:row>10</xdr:row>
      <xdr:rowOff>137160</xdr:rowOff>
    </xdr:from>
    <xdr:to>
      <xdr:col>16</xdr:col>
      <xdr:colOff>209550</xdr:colOff>
      <xdr:row>17</xdr:row>
      <xdr:rowOff>99060</xdr:rowOff>
    </xdr:to>
    <xdr:cxnSp macro="">
      <xdr:nvCxnSpPr>
        <xdr:cNvPr id="9" name="Conector angular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CxnSpPr/>
      </xdr:nvCxnSpPr>
      <xdr:spPr>
        <a:xfrm rot="16200000" flipV="1">
          <a:off x="5461635" y="3004185"/>
          <a:ext cx="1508760" cy="11811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567690</xdr:colOff>
      <xdr:row>24</xdr:row>
      <xdr:rowOff>167640</xdr:rowOff>
    </xdr:from>
    <xdr:to>
      <xdr:col>1</xdr:col>
      <xdr:colOff>1760220</xdr:colOff>
      <xdr:row>32</xdr:row>
      <xdr:rowOff>60960</xdr:rowOff>
    </xdr:to>
    <xdr:cxnSp macro="">
      <xdr:nvCxnSpPr>
        <xdr:cNvPr id="4" name="Conector angular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CxnSpPr/>
      </xdr:nvCxnSpPr>
      <xdr:spPr>
        <a:xfrm rot="5400000">
          <a:off x="661035" y="5415915"/>
          <a:ext cx="1478280" cy="119253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83820</xdr:colOff>
      <xdr:row>16</xdr:row>
      <xdr:rowOff>114300</xdr:rowOff>
    </xdr:from>
    <xdr:to>
      <xdr:col>20</xdr:col>
      <xdr:colOff>198120</xdr:colOff>
      <xdr:row>19</xdr:row>
      <xdr:rowOff>129540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/>
      </xdr:nvSpPr>
      <xdr:spPr>
        <a:xfrm>
          <a:off x="4335780" y="3634740"/>
          <a:ext cx="296418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</a:t>
          </a:r>
          <a:r>
            <a:rPr lang="es-CL" sz="1100" baseline="0"/>
            <a:t> prioridad reparación red de agua</a:t>
          </a:r>
          <a:endParaRPr lang="es-CL" sz="1100"/>
        </a:p>
      </xdr:txBody>
    </xdr:sp>
    <xdr:clientData/>
  </xdr:twoCellAnchor>
  <xdr:twoCellAnchor>
    <xdr:from>
      <xdr:col>18</xdr:col>
      <xdr:colOff>30480</xdr:colOff>
      <xdr:row>31</xdr:row>
      <xdr:rowOff>91440</xdr:rowOff>
    </xdr:from>
    <xdr:to>
      <xdr:col>26</xdr:col>
      <xdr:colOff>220980</xdr:colOff>
      <xdr:row>35</xdr:row>
      <xdr:rowOff>137160</xdr:rowOff>
    </xdr:to>
    <xdr:cxnSp macro="">
      <xdr:nvCxnSpPr>
        <xdr:cNvPr id="12" name="Conector angular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CxnSpPr/>
      </xdr:nvCxnSpPr>
      <xdr:spPr>
        <a:xfrm>
          <a:off x="6614160" y="6583680"/>
          <a:ext cx="2324100" cy="83820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167640</xdr:colOff>
      <xdr:row>32</xdr:row>
      <xdr:rowOff>68580</xdr:rowOff>
    </xdr:from>
    <xdr:to>
      <xdr:col>27</xdr:col>
      <xdr:colOff>822960</xdr:colOff>
      <xdr:row>34</xdr:row>
      <xdr:rowOff>76200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7269480" y="6758940"/>
          <a:ext cx="341376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rpiorida red de agua</a:t>
          </a:r>
        </a:p>
      </xdr:txBody>
    </xdr:sp>
    <xdr:clientData/>
  </xdr:twoCellAnchor>
  <xdr:twoCellAnchor>
    <xdr:from>
      <xdr:col>9</xdr:col>
      <xdr:colOff>213360</xdr:colOff>
      <xdr:row>1</xdr:row>
      <xdr:rowOff>60960</xdr:rowOff>
    </xdr:from>
    <xdr:to>
      <xdr:col>21</xdr:col>
      <xdr:colOff>68580</xdr:colOff>
      <xdr:row>4</xdr:row>
      <xdr:rowOff>129540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/>
      </xdr:nvSpPr>
      <xdr:spPr>
        <a:xfrm>
          <a:off x="4465320" y="259080"/>
          <a:ext cx="2964180" cy="662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aseline="0"/>
            <a:t>Se da prioridad a reparación de red de agua y montaje de estructuras, no se considera limpieza de brocal </a:t>
          </a:r>
          <a:endParaRPr lang="es-CL" sz="1100"/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83820</xdr:colOff>
      <xdr:row>2</xdr:row>
      <xdr:rowOff>194310</xdr:rowOff>
    </xdr:from>
    <xdr:to>
      <xdr:col>9</xdr:col>
      <xdr:colOff>213360</xdr:colOff>
      <xdr:row>9</xdr:row>
      <xdr:rowOff>152400</xdr:rowOff>
    </xdr:to>
    <xdr:cxnSp macro="">
      <xdr:nvCxnSpPr>
        <xdr:cNvPr id="15" name="Conector angular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CxnSpPr>
          <a:endCxn id="13" idx="1"/>
        </xdr:cNvCxnSpPr>
      </xdr:nvCxnSpPr>
      <xdr:spPr>
        <a:xfrm rot="5400000" flipH="1" flipV="1">
          <a:off x="3712845" y="1213485"/>
          <a:ext cx="1375410" cy="12954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31</xdr:row>
      <xdr:rowOff>160020</xdr:rowOff>
    </xdr:from>
    <xdr:to>
      <xdr:col>4</xdr:col>
      <xdr:colOff>7620</xdr:colOff>
      <xdr:row>33</xdr:row>
      <xdr:rowOff>167640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/>
      </xdr:nvSpPr>
      <xdr:spPr>
        <a:xfrm>
          <a:off x="0" y="665226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prioridad a limpieza de galeria</a:t>
          </a:r>
          <a:endParaRPr lang="es-CL" sz="1100" baseline="0"/>
        </a:p>
        <a:p>
          <a:pPr algn="l"/>
          <a:endParaRPr lang="es-CL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274862</xdr:colOff>
      <xdr:row>25</xdr:row>
      <xdr:rowOff>73570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248942" cy="482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335827</xdr:colOff>
      <xdr:row>26</xdr:row>
      <xdr:rowOff>76636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309907" cy="502963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92832</xdr:colOff>
      <xdr:row>9</xdr:row>
      <xdr:rowOff>15424</xdr:rowOff>
    </xdr:from>
    <xdr:to>
      <xdr:col>12</xdr:col>
      <xdr:colOff>218230</xdr:colOff>
      <xdr:row>11</xdr:row>
      <xdr:rowOff>205371</xdr:rowOff>
    </xdr:to>
    <xdr:sp macro="" textlink="">
      <xdr:nvSpPr>
        <xdr:cNvPr id="116" name="Rectangle 153">
          <a:extLst>
            <a:ext uri="{FF2B5EF4-FFF2-40B4-BE49-F238E27FC236}">
              <a16:creationId xmlns:a16="http://schemas.microsoft.com/office/drawing/2014/main" id="{00000000-0008-0000-1300-000074000000}"/>
            </a:ext>
          </a:extLst>
        </xdr:cNvPr>
        <xdr:cNvSpPr/>
      </xdr:nvSpPr>
      <xdr:spPr>
        <a:xfrm>
          <a:off x="934207" y="1872799"/>
          <a:ext cx="9380523" cy="602697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1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</a:t>
          </a: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Novedades del turno anterior y preparación charla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Supervisor de terreno novedades en la oficina del jefe de mantención DET y asigna recursos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para dar cumplimiento de las actividades.</a:t>
          </a:r>
        </a:p>
      </xdr:txBody>
    </xdr:sp>
    <xdr:clientData/>
  </xdr:twoCellAnchor>
  <xdr:twoCellAnchor>
    <xdr:from>
      <xdr:col>1</xdr:col>
      <xdr:colOff>62960</xdr:colOff>
      <xdr:row>1</xdr:row>
      <xdr:rowOff>0</xdr:rowOff>
    </xdr:from>
    <xdr:to>
      <xdr:col>11</xdr:col>
      <xdr:colOff>211488</xdr:colOff>
      <xdr:row>4</xdr:row>
      <xdr:rowOff>212</xdr:rowOff>
    </xdr:to>
    <xdr:sp macro="" textlink="">
      <xdr:nvSpPr>
        <xdr:cNvPr id="117" name="Title 1">
          <a:extLst>
            <a:ext uri="{FF2B5EF4-FFF2-40B4-BE49-F238E27FC236}">
              <a16:creationId xmlns:a16="http://schemas.microsoft.com/office/drawing/2014/main" id="{00000000-0008-0000-1300-000075000000}"/>
            </a:ext>
          </a:extLst>
        </xdr:cNvPr>
        <xdr:cNvSpPr txBox="1">
          <a:spLocks/>
        </xdr:cNvSpPr>
      </xdr:nvSpPr>
      <xdr:spPr bwMode="auto">
        <a:xfrm>
          <a:off x="904335" y="206375"/>
          <a:ext cx="8562278" cy="6193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2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0" tIns="0" rIns="0" bIns="0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2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Estándar disciplina operacional </a:t>
          </a: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0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MIES – ACM</a:t>
          </a:r>
        </a:p>
      </xdr:txBody>
    </xdr:sp>
    <xdr:clientData/>
  </xdr:twoCellAnchor>
  <xdr:twoCellAnchor>
    <xdr:from>
      <xdr:col>9</xdr:col>
      <xdr:colOff>337286</xdr:colOff>
      <xdr:row>1</xdr:row>
      <xdr:rowOff>91040</xdr:rowOff>
    </xdr:from>
    <xdr:to>
      <xdr:col>12</xdr:col>
      <xdr:colOff>163518</xdr:colOff>
      <xdr:row>5</xdr:row>
      <xdr:rowOff>180975</xdr:rowOff>
    </xdr:to>
    <xdr:sp macro="" textlink="">
      <xdr:nvSpPr>
        <xdr:cNvPr id="118" name="Rectangle 17">
          <a:extLst>
            <a:ext uri="{FF2B5EF4-FFF2-40B4-BE49-F238E27FC236}">
              <a16:creationId xmlns:a16="http://schemas.microsoft.com/office/drawing/2014/main" id="{00000000-0008-0000-1300-000076000000}"/>
            </a:ext>
          </a:extLst>
        </xdr:cNvPr>
        <xdr:cNvSpPr>
          <a:spLocks noChangeArrowheads="1"/>
        </xdr:cNvSpPr>
      </xdr:nvSpPr>
      <xdr:spPr bwMode="auto">
        <a:xfrm>
          <a:off x="7909661" y="297415"/>
          <a:ext cx="2350357" cy="915435"/>
        </a:xfrm>
        <a:prstGeom prst="rect">
          <a:avLst/>
        </a:prstGeom>
        <a:solidFill>
          <a:sysClr val="window" lastClr="FFFFFF"/>
        </a:solidFill>
        <a:ln w="19050">
          <a:solidFill>
            <a:srgbClr val="002060"/>
          </a:solidFill>
          <a:round/>
          <a:headEnd/>
          <a:tailEnd/>
        </a:ln>
        <a:effectLst/>
      </xdr:spPr>
      <xdr:txBody>
        <a:bodyPr vert="horz" wrap="square" lIns="45864" tIns="0" rIns="40112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568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META</a:t>
          </a:r>
        </a:p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1176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Tener un tiempo Disponible de trabajo de 10:10 horas   </a:t>
          </a:r>
          <a:endParaRPr kumimoji="0" lang="es-ES_tradnl" sz="1176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11</xdr:col>
      <xdr:colOff>403305</xdr:colOff>
      <xdr:row>1</xdr:row>
      <xdr:rowOff>56393</xdr:rowOff>
    </xdr:from>
    <xdr:to>
      <xdr:col>12</xdr:col>
      <xdr:colOff>94843</xdr:colOff>
      <xdr:row>3</xdr:row>
      <xdr:rowOff>83142</xdr:rowOff>
    </xdr:to>
    <xdr:pic>
      <xdr:nvPicPr>
        <xdr:cNvPr id="119" name="1 Imagen">
          <a:extLst>
            <a:ext uri="{FF2B5EF4-FFF2-40B4-BE49-F238E27FC236}">
              <a16:creationId xmlns:a16="http://schemas.microsoft.com/office/drawing/2014/main" id="{00000000-0008-0000-13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658430" y="262768"/>
          <a:ext cx="532913" cy="439499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3</xdr:row>
      <xdr:rowOff>188262</xdr:rowOff>
    </xdr:from>
    <xdr:to>
      <xdr:col>1</xdr:col>
      <xdr:colOff>571060</xdr:colOff>
      <xdr:row>6</xdr:row>
      <xdr:rowOff>50762</xdr:rowOff>
    </xdr:to>
    <xdr:sp macro="" textlink="">
      <xdr:nvSpPr>
        <xdr:cNvPr id="120" name="Rectangle 82">
          <a:extLst>
            <a:ext uri="{FF2B5EF4-FFF2-40B4-BE49-F238E27FC236}">
              <a16:creationId xmlns:a16="http://schemas.microsoft.com/office/drawing/2014/main" id="{00000000-0008-0000-1300-000078000000}"/>
            </a:ext>
          </a:extLst>
        </xdr:cNvPr>
        <xdr:cNvSpPr>
          <a:spLocks/>
        </xdr:cNvSpPr>
      </xdr:nvSpPr>
      <xdr:spPr bwMode="gray">
        <a:xfrm>
          <a:off x="854075" y="807387"/>
          <a:ext cx="558360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Versión</a:t>
          </a: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</xdr:col>
      <xdr:colOff>34377</xdr:colOff>
      <xdr:row>5</xdr:row>
      <xdr:rowOff>14994</xdr:rowOff>
    </xdr:from>
    <xdr:to>
      <xdr:col>1</xdr:col>
      <xdr:colOff>581426</xdr:colOff>
      <xdr:row>6</xdr:row>
      <xdr:rowOff>113867</xdr:rowOff>
    </xdr:to>
    <xdr:sp macro="" textlink="">
      <xdr:nvSpPr>
        <xdr:cNvPr id="121" name="Rectangle 17">
          <a:extLst>
            <a:ext uri="{FF2B5EF4-FFF2-40B4-BE49-F238E27FC236}">
              <a16:creationId xmlns:a16="http://schemas.microsoft.com/office/drawing/2014/main" id="{00000000-0008-0000-1300-000079000000}"/>
            </a:ext>
          </a:extLst>
        </xdr:cNvPr>
        <xdr:cNvSpPr>
          <a:spLocks noChangeArrowheads="1"/>
        </xdr:cNvSpPr>
      </xdr:nvSpPr>
      <xdr:spPr bwMode="auto">
        <a:xfrm>
          <a:off x="875752" y="1046869"/>
          <a:ext cx="547049" cy="30524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1</a:t>
          </a:r>
        </a:p>
      </xdr:txBody>
    </xdr:sp>
    <xdr:clientData/>
  </xdr:twoCellAnchor>
  <xdr:twoCellAnchor>
    <xdr:from>
      <xdr:col>5</xdr:col>
      <xdr:colOff>802842</xdr:colOff>
      <xdr:row>3</xdr:row>
      <xdr:rowOff>198080</xdr:rowOff>
    </xdr:from>
    <xdr:to>
      <xdr:col>7</xdr:col>
      <xdr:colOff>488413</xdr:colOff>
      <xdr:row>6</xdr:row>
      <xdr:rowOff>60579</xdr:rowOff>
    </xdr:to>
    <xdr:sp macro="" textlink="">
      <xdr:nvSpPr>
        <xdr:cNvPr id="122" name="Rectangle 17">
          <a:extLst>
            <a:ext uri="{FF2B5EF4-FFF2-40B4-BE49-F238E27FC236}">
              <a16:creationId xmlns:a16="http://schemas.microsoft.com/office/drawing/2014/main" id="{00000000-0008-0000-1300-00007A000000}"/>
            </a:ext>
          </a:extLst>
        </xdr:cNvPr>
        <xdr:cNvSpPr>
          <a:spLocks noChangeArrowheads="1"/>
        </xdr:cNvSpPr>
      </xdr:nvSpPr>
      <xdr:spPr bwMode="auto">
        <a:xfrm>
          <a:off x="5009717" y="817205"/>
          <a:ext cx="1368321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Estándar:</a:t>
          </a:r>
        </a:p>
      </xdr:txBody>
    </xdr:sp>
    <xdr:clientData/>
  </xdr:twoCellAnchor>
  <xdr:twoCellAnchor>
    <xdr:from>
      <xdr:col>5</xdr:col>
      <xdr:colOff>774667</xdr:colOff>
      <xdr:row>4</xdr:row>
      <xdr:rowOff>187327</xdr:rowOff>
    </xdr:from>
    <xdr:to>
      <xdr:col>7</xdr:col>
      <xdr:colOff>374248</xdr:colOff>
      <xdr:row>6</xdr:row>
      <xdr:rowOff>75675</xdr:rowOff>
    </xdr:to>
    <xdr:sp macro="" textlink="">
      <xdr:nvSpPr>
        <xdr:cNvPr id="123" name="Rectangle 17">
          <a:extLst>
            <a:ext uri="{FF2B5EF4-FFF2-40B4-BE49-F238E27FC236}">
              <a16:creationId xmlns:a16="http://schemas.microsoft.com/office/drawing/2014/main" id="{00000000-0008-0000-1300-00007B000000}"/>
            </a:ext>
          </a:extLst>
        </xdr:cNvPr>
        <xdr:cNvSpPr>
          <a:spLocks noChangeArrowheads="1"/>
        </xdr:cNvSpPr>
      </xdr:nvSpPr>
      <xdr:spPr bwMode="auto">
        <a:xfrm>
          <a:off x="4981542" y="1012827"/>
          <a:ext cx="1282331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Carlos Ortiz L</a:t>
          </a:r>
        </a:p>
      </xdr:txBody>
    </xdr:sp>
    <xdr:clientData/>
  </xdr:twoCellAnchor>
  <xdr:twoCellAnchor>
    <xdr:from>
      <xdr:col>7</xdr:col>
      <xdr:colOff>418670</xdr:colOff>
      <xdr:row>3</xdr:row>
      <xdr:rowOff>204135</xdr:rowOff>
    </xdr:from>
    <xdr:to>
      <xdr:col>9</xdr:col>
      <xdr:colOff>207967</xdr:colOff>
      <xdr:row>6</xdr:row>
      <xdr:rowOff>66634</xdr:rowOff>
    </xdr:to>
    <xdr:sp macro="" textlink="">
      <xdr:nvSpPr>
        <xdr:cNvPr id="124" name="Rectangle 17">
          <a:extLst>
            <a:ext uri="{FF2B5EF4-FFF2-40B4-BE49-F238E27FC236}">
              <a16:creationId xmlns:a16="http://schemas.microsoft.com/office/drawing/2014/main" id="{00000000-0008-0000-1300-00007C000000}"/>
            </a:ext>
          </a:extLst>
        </xdr:cNvPr>
        <xdr:cNvSpPr>
          <a:spLocks noChangeArrowheads="1"/>
        </xdr:cNvSpPr>
      </xdr:nvSpPr>
      <xdr:spPr bwMode="auto">
        <a:xfrm>
          <a:off x="6308295" y="823260"/>
          <a:ext cx="1472047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Ejecución:</a:t>
          </a:r>
        </a:p>
      </xdr:txBody>
    </xdr:sp>
    <xdr:clientData/>
  </xdr:twoCellAnchor>
  <xdr:twoCellAnchor>
    <xdr:from>
      <xdr:col>7</xdr:col>
      <xdr:colOff>466324</xdr:colOff>
      <xdr:row>4</xdr:row>
      <xdr:rowOff>187327</xdr:rowOff>
    </xdr:from>
    <xdr:to>
      <xdr:col>9</xdr:col>
      <xdr:colOff>160300</xdr:colOff>
      <xdr:row>6</xdr:row>
      <xdr:rowOff>75675</xdr:rowOff>
    </xdr:to>
    <xdr:sp macro="" textlink="">
      <xdr:nvSpPr>
        <xdr:cNvPr id="125" name="Rectangle 17">
          <a:extLst>
            <a:ext uri="{FF2B5EF4-FFF2-40B4-BE49-F238E27FC236}">
              <a16:creationId xmlns:a16="http://schemas.microsoft.com/office/drawing/2014/main" id="{00000000-0008-0000-1300-00007D000000}"/>
            </a:ext>
          </a:extLst>
        </xdr:cNvPr>
        <xdr:cNvSpPr>
          <a:spLocks noChangeArrowheads="1"/>
        </xdr:cNvSpPr>
      </xdr:nvSpPr>
      <xdr:spPr bwMode="auto">
        <a:xfrm>
          <a:off x="6355949" y="1012827"/>
          <a:ext cx="1376726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Jefe de terreno</a:t>
          </a:r>
        </a:p>
      </xdr:txBody>
    </xdr:sp>
    <xdr:clientData/>
  </xdr:twoCellAnchor>
  <xdr:twoCellAnchor>
    <xdr:from>
      <xdr:col>4</xdr:col>
      <xdr:colOff>709654</xdr:colOff>
      <xdr:row>3</xdr:row>
      <xdr:rowOff>198081</xdr:rowOff>
    </xdr:from>
    <xdr:to>
      <xdr:col>5</xdr:col>
      <xdr:colOff>812978</xdr:colOff>
      <xdr:row>6</xdr:row>
      <xdr:rowOff>60580</xdr:rowOff>
    </xdr:to>
    <xdr:sp macro="" textlink="">
      <xdr:nvSpPr>
        <xdr:cNvPr id="126" name="Rectangle 17">
          <a:extLst>
            <a:ext uri="{FF2B5EF4-FFF2-40B4-BE49-F238E27FC236}">
              <a16:creationId xmlns:a16="http://schemas.microsoft.com/office/drawing/2014/main" id="{00000000-0008-0000-1300-00007E000000}"/>
            </a:ext>
          </a:extLst>
        </xdr:cNvPr>
        <xdr:cNvSpPr>
          <a:spLocks noChangeArrowheads="1"/>
        </xdr:cNvSpPr>
      </xdr:nvSpPr>
      <xdr:spPr bwMode="auto">
        <a:xfrm>
          <a:off x="4075154" y="817206"/>
          <a:ext cx="944699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Actualización:</a:t>
          </a:r>
        </a:p>
      </xdr:txBody>
    </xdr:sp>
    <xdr:clientData/>
  </xdr:twoCellAnchor>
  <xdr:twoCellAnchor>
    <xdr:from>
      <xdr:col>4</xdr:col>
      <xdr:colOff>728175</xdr:colOff>
      <xdr:row>4</xdr:row>
      <xdr:rowOff>189703</xdr:rowOff>
    </xdr:from>
    <xdr:to>
      <xdr:col>5</xdr:col>
      <xdr:colOff>727000</xdr:colOff>
      <xdr:row>6</xdr:row>
      <xdr:rowOff>78051</xdr:rowOff>
    </xdr:to>
    <xdr:sp macro="" textlink="">
      <xdr:nvSpPr>
        <xdr:cNvPr id="127" name="Rectangle 17">
          <a:extLst>
            <a:ext uri="{FF2B5EF4-FFF2-40B4-BE49-F238E27FC236}">
              <a16:creationId xmlns:a16="http://schemas.microsoft.com/office/drawing/2014/main" id="{00000000-0008-0000-1300-00007F000000}"/>
            </a:ext>
          </a:extLst>
        </xdr:cNvPr>
        <xdr:cNvSpPr>
          <a:spLocks noChangeArrowheads="1"/>
        </xdr:cNvSpPr>
      </xdr:nvSpPr>
      <xdr:spPr bwMode="auto">
        <a:xfrm>
          <a:off x="4093675" y="1015203"/>
          <a:ext cx="840200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00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01-07-2021</a:t>
          </a:r>
        </a:p>
      </xdr:txBody>
    </xdr:sp>
    <xdr:clientData/>
  </xdr:twoCellAnchor>
  <xdr:twoCellAnchor>
    <xdr:from>
      <xdr:col>1</xdr:col>
      <xdr:colOff>596371</xdr:colOff>
      <xdr:row>3</xdr:row>
      <xdr:rowOff>198082</xdr:rowOff>
    </xdr:from>
    <xdr:to>
      <xdr:col>4</xdr:col>
      <xdr:colOff>707405</xdr:colOff>
      <xdr:row>6</xdr:row>
      <xdr:rowOff>60582</xdr:rowOff>
    </xdr:to>
    <xdr:sp macro="" textlink="">
      <xdr:nvSpPr>
        <xdr:cNvPr id="128" name="Rectangle 17">
          <a:extLst>
            <a:ext uri="{FF2B5EF4-FFF2-40B4-BE49-F238E27FC236}">
              <a16:creationId xmlns:a16="http://schemas.microsoft.com/office/drawing/2014/main" id="{00000000-0008-0000-1300-000080000000}"/>
            </a:ext>
          </a:extLst>
        </xdr:cNvPr>
        <xdr:cNvSpPr>
          <a:spLocks noChangeArrowheads="1"/>
        </xdr:cNvSpPr>
      </xdr:nvSpPr>
      <xdr:spPr bwMode="auto">
        <a:xfrm>
          <a:off x="1437746" y="817207"/>
          <a:ext cx="2635159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Objetivo:</a:t>
          </a:r>
          <a:b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</a:b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641240</xdr:colOff>
      <xdr:row>4</xdr:row>
      <xdr:rowOff>187328</xdr:rowOff>
    </xdr:from>
    <xdr:to>
      <xdr:col>4</xdr:col>
      <xdr:colOff>702404</xdr:colOff>
      <xdr:row>6</xdr:row>
      <xdr:rowOff>66262</xdr:rowOff>
    </xdr:to>
    <xdr:sp macro="" textlink="">
      <xdr:nvSpPr>
        <xdr:cNvPr id="129" name="Rectangle 17">
          <a:extLst>
            <a:ext uri="{FF2B5EF4-FFF2-40B4-BE49-F238E27FC236}">
              <a16:creationId xmlns:a16="http://schemas.microsoft.com/office/drawing/2014/main" id="{00000000-0008-0000-1300-000081000000}"/>
            </a:ext>
          </a:extLst>
        </xdr:cNvPr>
        <xdr:cNvSpPr>
          <a:spLocks noChangeArrowheads="1"/>
        </xdr:cNvSpPr>
      </xdr:nvSpPr>
      <xdr:spPr bwMode="auto">
        <a:xfrm>
          <a:off x="1482615" y="1012828"/>
          <a:ext cx="2585289" cy="291684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Aumentar el tiempo disponible de trabajo de las cuadrillas </a:t>
          </a:r>
        </a:p>
      </xdr:txBody>
    </xdr:sp>
    <xdr:clientData/>
  </xdr:twoCellAnchor>
  <xdr:twoCellAnchor>
    <xdr:from>
      <xdr:col>10</xdr:col>
      <xdr:colOff>333426</xdr:colOff>
      <xdr:row>9</xdr:row>
      <xdr:rowOff>90667</xdr:rowOff>
    </xdr:from>
    <xdr:to>
      <xdr:col>12</xdr:col>
      <xdr:colOff>176190</xdr:colOff>
      <xdr:row>11</xdr:row>
      <xdr:rowOff>127808</xdr:rowOff>
    </xdr:to>
    <xdr:sp macro="" textlink="">
      <xdr:nvSpPr>
        <xdr:cNvPr id="131" name="Rounded Rectangle 104">
          <a:extLst>
            <a:ext uri="{FF2B5EF4-FFF2-40B4-BE49-F238E27FC236}">
              <a16:creationId xmlns:a16="http://schemas.microsoft.com/office/drawing/2014/main" id="{00000000-0008-0000-1300-000083000000}"/>
            </a:ext>
          </a:extLst>
        </xdr:cNvPr>
        <xdr:cNvSpPr>
          <a:spLocks/>
        </xdr:cNvSpPr>
      </xdr:nvSpPr>
      <xdr:spPr>
        <a:xfrm>
          <a:off x="8747176" y="1948042"/>
          <a:ext cx="1525514" cy="449891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TA  :   8:10</a:t>
          </a: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TB : 20:10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155900</xdr:colOff>
      <xdr:row>12</xdr:row>
      <xdr:rowOff>134971</xdr:rowOff>
    </xdr:from>
    <xdr:to>
      <xdr:col>1</xdr:col>
      <xdr:colOff>639358</xdr:colOff>
      <xdr:row>14</xdr:row>
      <xdr:rowOff>165487</xdr:rowOff>
    </xdr:to>
    <xdr:sp macro="" textlink="">
      <xdr:nvSpPr>
        <xdr:cNvPr id="133" name="Oval 144">
          <a:extLst>
            <a:ext uri="{FF2B5EF4-FFF2-40B4-BE49-F238E27FC236}">
              <a16:creationId xmlns:a16="http://schemas.microsoft.com/office/drawing/2014/main" id="{00000000-0008-0000-1300-000085000000}"/>
            </a:ext>
          </a:extLst>
        </xdr:cNvPr>
        <xdr:cNvSpPr>
          <a:spLocks/>
        </xdr:cNvSpPr>
      </xdr:nvSpPr>
      <xdr:spPr>
        <a:xfrm>
          <a:off x="997275" y="2611471"/>
          <a:ext cx="483458" cy="44326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</xdr:col>
      <xdr:colOff>111125</xdr:colOff>
      <xdr:row>27</xdr:row>
      <xdr:rowOff>28238</xdr:rowOff>
    </xdr:from>
    <xdr:to>
      <xdr:col>12</xdr:col>
      <xdr:colOff>254000</xdr:colOff>
      <xdr:row>30</xdr:row>
      <xdr:rowOff>50204</xdr:rowOff>
    </xdr:to>
    <xdr:sp macro="" textlink="">
      <xdr:nvSpPr>
        <xdr:cNvPr id="134" name="Rectangle 153">
          <a:extLst>
            <a:ext uri="{FF2B5EF4-FFF2-40B4-BE49-F238E27FC236}">
              <a16:creationId xmlns:a16="http://schemas.microsoft.com/office/drawing/2014/main" id="{00000000-0008-0000-1300-000086000000}"/>
            </a:ext>
          </a:extLst>
        </xdr:cNvPr>
        <xdr:cNvSpPr/>
      </xdr:nvSpPr>
      <xdr:spPr>
        <a:xfrm>
          <a:off x="962025" y="5514638"/>
          <a:ext cx="9502775" cy="63156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        </a:t>
          </a:r>
          <a:endParaRPr kumimoji="0" lang="es-ES_tradnl" sz="1078" b="0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203825</xdr:colOff>
      <xdr:row>1</xdr:row>
      <xdr:rowOff>165858</xdr:rowOff>
    </xdr:from>
    <xdr:to>
      <xdr:col>1</xdr:col>
      <xdr:colOff>521693</xdr:colOff>
      <xdr:row>3</xdr:row>
      <xdr:rowOff>61056</xdr:rowOff>
    </xdr:to>
    <xdr:sp macro="" textlink="">
      <xdr:nvSpPr>
        <xdr:cNvPr id="136" name="AutoShape 4" descr="Resultado de imagen para check list">
          <a:extLst>
            <a:ext uri="{FF2B5EF4-FFF2-40B4-BE49-F238E27FC236}">
              <a16:creationId xmlns:a16="http://schemas.microsoft.com/office/drawing/2014/main" id="{00000000-0008-0000-1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1045200" y="372233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362758</xdr:colOff>
      <xdr:row>2</xdr:row>
      <xdr:rowOff>113457</xdr:rowOff>
    </xdr:from>
    <xdr:to>
      <xdr:col>1</xdr:col>
      <xdr:colOff>680626</xdr:colOff>
      <xdr:row>4</xdr:row>
      <xdr:rowOff>8655</xdr:rowOff>
    </xdr:to>
    <xdr:sp macro="" textlink="">
      <xdr:nvSpPr>
        <xdr:cNvPr id="137" name="AutoShape 6" descr="Resultado de imagen para check list">
          <a:extLst>
            <a:ext uri="{FF2B5EF4-FFF2-40B4-BE49-F238E27FC236}">
              <a16:creationId xmlns:a16="http://schemas.microsoft.com/office/drawing/2014/main" id="{00000000-0008-0000-1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1204133" y="526207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143690</xdr:colOff>
      <xdr:row>23</xdr:row>
      <xdr:rowOff>64035</xdr:rowOff>
    </xdr:from>
    <xdr:to>
      <xdr:col>12</xdr:col>
      <xdr:colOff>280591</xdr:colOff>
      <xdr:row>26</xdr:row>
      <xdr:rowOff>116168</xdr:rowOff>
    </xdr:to>
    <xdr:sp macro="" textlink="">
      <xdr:nvSpPr>
        <xdr:cNvPr id="138" name="Rectangle 153">
          <a:extLst>
            <a:ext uri="{FF2B5EF4-FFF2-40B4-BE49-F238E27FC236}">
              <a16:creationId xmlns:a16="http://schemas.microsoft.com/office/drawing/2014/main" id="{00000000-0008-0000-1300-00008A000000}"/>
            </a:ext>
          </a:extLst>
        </xdr:cNvPr>
        <xdr:cNvSpPr/>
      </xdr:nvSpPr>
      <xdr:spPr>
        <a:xfrm>
          <a:off x="994590" y="4737635"/>
          <a:ext cx="9496801" cy="6617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endParaRPr kumimoji="0" lang="es-ES" sz="107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87732</xdr:colOff>
      <xdr:row>16</xdr:row>
      <xdr:rowOff>6614</xdr:rowOff>
    </xdr:from>
    <xdr:to>
      <xdr:col>12</xdr:col>
      <xdr:colOff>213128</xdr:colOff>
      <xdr:row>19</xdr:row>
      <xdr:rowOff>72720</xdr:rowOff>
    </xdr:to>
    <xdr:sp macro="" textlink="">
      <xdr:nvSpPr>
        <xdr:cNvPr id="139" name="Rectangle 153">
          <a:extLst>
            <a:ext uri="{FF2B5EF4-FFF2-40B4-BE49-F238E27FC236}">
              <a16:creationId xmlns:a16="http://schemas.microsoft.com/office/drawing/2014/main" id="{00000000-0008-0000-1300-00008B000000}"/>
            </a:ext>
          </a:extLst>
        </xdr:cNvPr>
        <xdr:cNvSpPr/>
      </xdr:nvSpPr>
      <xdr:spPr>
        <a:xfrm>
          <a:off x="938632" y="3257814"/>
          <a:ext cx="9485296" cy="67570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Traslado al almuerzo (Casino  Tte7) </a:t>
          </a:r>
          <a:r>
            <a:rPr kumimoji="0" lang="es-ES_tradnl" sz="12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Personal se traslada de instalación de faena a casino.</a:t>
          </a:r>
          <a:endParaRPr kumimoji="0" lang="es-ES_tradnl" sz="1200" b="1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.</a:t>
          </a:r>
        </a:p>
      </xdr:txBody>
    </xdr:sp>
    <xdr:clientData/>
  </xdr:twoCellAnchor>
  <xdr:twoCellAnchor>
    <xdr:from>
      <xdr:col>1</xdr:col>
      <xdr:colOff>151445</xdr:colOff>
      <xdr:row>23</xdr:row>
      <xdr:rowOff>182915</xdr:rowOff>
    </xdr:from>
    <xdr:to>
      <xdr:col>1</xdr:col>
      <xdr:colOff>656680</xdr:colOff>
      <xdr:row>26</xdr:row>
      <xdr:rowOff>10231</xdr:rowOff>
    </xdr:to>
    <xdr:sp macro="" textlink="">
      <xdr:nvSpPr>
        <xdr:cNvPr id="140" name="Oval 144">
          <a:extLst>
            <a:ext uri="{FF2B5EF4-FFF2-40B4-BE49-F238E27FC236}">
              <a16:creationId xmlns:a16="http://schemas.microsoft.com/office/drawing/2014/main" id="{00000000-0008-0000-1300-00008C000000}"/>
            </a:ext>
          </a:extLst>
        </xdr:cNvPr>
        <xdr:cNvSpPr>
          <a:spLocks/>
        </xdr:cNvSpPr>
      </xdr:nvSpPr>
      <xdr:spPr>
        <a:xfrm>
          <a:off x="1002345" y="4856515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6</a:t>
          </a:r>
        </a:p>
      </xdr:txBody>
    </xdr:sp>
    <xdr:clientData/>
  </xdr:twoCellAnchor>
  <xdr:twoCellAnchor>
    <xdr:from>
      <xdr:col>9</xdr:col>
      <xdr:colOff>732270</xdr:colOff>
      <xdr:row>9</xdr:row>
      <xdr:rowOff>92270</xdr:rowOff>
    </xdr:from>
    <xdr:to>
      <xdr:col>10</xdr:col>
      <xdr:colOff>228785</xdr:colOff>
      <xdr:row>11</xdr:row>
      <xdr:rowOff>188724</xdr:rowOff>
    </xdr:to>
    <xdr:pic>
      <xdr:nvPicPr>
        <xdr:cNvPr id="141" name="Picture 186">
          <a:extLst>
            <a:ext uri="{FF2B5EF4-FFF2-40B4-BE49-F238E27FC236}">
              <a16:creationId xmlns:a16="http://schemas.microsoft.com/office/drawing/2014/main" id="{00000000-0008-0000-13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04645" y="1949645"/>
          <a:ext cx="337890" cy="50920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156611</xdr:colOff>
      <xdr:row>9</xdr:row>
      <xdr:rowOff>11339</xdr:rowOff>
    </xdr:from>
    <xdr:to>
      <xdr:col>9</xdr:col>
      <xdr:colOff>679950</xdr:colOff>
      <xdr:row>11</xdr:row>
      <xdr:rowOff>180535</xdr:rowOff>
    </xdr:to>
    <xdr:pic>
      <xdr:nvPicPr>
        <xdr:cNvPr id="142" name="Picture 1334">
          <a:extLst>
            <a:ext uri="{FF2B5EF4-FFF2-40B4-BE49-F238E27FC236}">
              <a16:creationId xmlns:a16="http://schemas.microsoft.com/office/drawing/2014/main" id="{00000000-0008-0000-13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728986" y="1868714"/>
          <a:ext cx="523339" cy="58194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316113</xdr:colOff>
      <xdr:row>12</xdr:row>
      <xdr:rowOff>92289</xdr:rowOff>
    </xdr:from>
    <xdr:to>
      <xdr:col>12</xdr:col>
      <xdr:colOff>158877</xdr:colOff>
      <xdr:row>14</xdr:row>
      <xdr:rowOff>202007</xdr:rowOff>
    </xdr:to>
    <xdr:sp macro="" textlink="">
      <xdr:nvSpPr>
        <xdr:cNvPr id="143" name="Rounded Rectangle 104">
          <a:extLst>
            <a:ext uri="{FF2B5EF4-FFF2-40B4-BE49-F238E27FC236}">
              <a16:creationId xmlns:a16="http://schemas.microsoft.com/office/drawing/2014/main" id="{00000000-0008-0000-1300-00008F000000}"/>
            </a:ext>
          </a:extLst>
        </xdr:cNvPr>
        <xdr:cNvSpPr>
          <a:spLocks/>
        </xdr:cNvSpPr>
      </xdr:nvSpPr>
      <xdr:spPr>
        <a:xfrm>
          <a:off x="8729863" y="2568789"/>
          <a:ext cx="1525514" cy="522468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TA  :   8:30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TB : 20:40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683005</xdr:colOff>
      <xdr:row>12</xdr:row>
      <xdr:rowOff>103062</xdr:rowOff>
    </xdr:from>
    <xdr:to>
      <xdr:col>9</xdr:col>
      <xdr:colOff>141977</xdr:colOff>
      <xdr:row>14</xdr:row>
      <xdr:rowOff>144452</xdr:rowOff>
    </xdr:to>
    <xdr:pic>
      <xdr:nvPicPr>
        <xdr:cNvPr id="144" name="Picture 186">
          <a:extLst>
            <a:ext uri="{FF2B5EF4-FFF2-40B4-BE49-F238E27FC236}">
              <a16:creationId xmlns:a16="http://schemas.microsoft.com/office/drawing/2014/main" id="{00000000-0008-0000-13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14005" y="2579562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129471</xdr:colOff>
      <xdr:row>12</xdr:row>
      <xdr:rowOff>75089</xdr:rowOff>
    </xdr:from>
    <xdr:to>
      <xdr:col>9</xdr:col>
      <xdr:colOff>429818</xdr:colOff>
      <xdr:row>14</xdr:row>
      <xdr:rowOff>114833</xdr:rowOff>
    </xdr:to>
    <xdr:pic>
      <xdr:nvPicPr>
        <xdr:cNvPr id="145" name="Picture 186">
          <a:extLst>
            <a:ext uri="{FF2B5EF4-FFF2-40B4-BE49-F238E27FC236}">
              <a16:creationId xmlns:a16="http://schemas.microsoft.com/office/drawing/2014/main" id="{00000000-0008-0000-13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01846" y="2551589"/>
          <a:ext cx="300347" cy="45249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226410</xdr:colOff>
      <xdr:row>13</xdr:row>
      <xdr:rowOff>35112</xdr:rowOff>
    </xdr:from>
    <xdr:to>
      <xdr:col>9</xdr:col>
      <xdr:colOff>526757</xdr:colOff>
      <xdr:row>15</xdr:row>
      <xdr:rowOff>76502</xdr:rowOff>
    </xdr:to>
    <xdr:pic>
      <xdr:nvPicPr>
        <xdr:cNvPr id="146" name="Picture 186">
          <a:extLst>
            <a:ext uri="{FF2B5EF4-FFF2-40B4-BE49-F238E27FC236}">
              <a16:creationId xmlns:a16="http://schemas.microsoft.com/office/drawing/2014/main" id="{00000000-0008-0000-13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98785" y="2717987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433456</xdr:colOff>
      <xdr:row>12</xdr:row>
      <xdr:rowOff>97425</xdr:rowOff>
    </xdr:from>
    <xdr:to>
      <xdr:col>9</xdr:col>
      <xdr:colOff>733803</xdr:colOff>
      <xdr:row>14</xdr:row>
      <xdr:rowOff>137169</xdr:rowOff>
    </xdr:to>
    <xdr:pic>
      <xdr:nvPicPr>
        <xdr:cNvPr id="147" name="Picture 186">
          <a:extLst>
            <a:ext uri="{FF2B5EF4-FFF2-40B4-BE49-F238E27FC236}">
              <a16:creationId xmlns:a16="http://schemas.microsoft.com/office/drawing/2014/main" id="{00000000-0008-0000-13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91556" y="2535825"/>
          <a:ext cx="300347" cy="44614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614477</xdr:colOff>
      <xdr:row>12</xdr:row>
      <xdr:rowOff>147028</xdr:rowOff>
    </xdr:from>
    <xdr:to>
      <xdr:col>10</xdr:col>
      <xdr:colOff>73449</xdr:colOff>
      <xdr:row>15</xdr:row>
      <xdr:rowOff>24088</xdr:rowOff>
    </xdr:to>
    <xdr:pic>
      <xdr:nvPicPr>
        <xdr:cNvPr id="148" name="Picture 186">
          <a:extLst>
            <a:ext uri="{FF2B5EF4-FFF2-40B4-BE49-F238E27FC236}">
              <a16:creationId xmlns:a16="http://schemas.microsoft.com/office/drawing/2014/main" id="{00000000-0008-0000-13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86852" y="2623528"/>
          <a:ext cx="300347" cy="49618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429359</xdr:colOff>
      <xdr:row>27</xdr:row>
      <xdr:rowOff>114993</xdr:rowOff>
    </xdr:from>
    <xdr:to>
      <xdr:col>12</xdr:col>
      <xdr:colOff>272123</xdr:colOff>
      <xdr:row>29</xdr:row>
      <xdr:rowOff>179692</xdr:rowOff>
    </xdr:to>
    <xdr:sp macro="" textlink="">
      <xdr:nvSpPr>
        <xdr:cNvPr id="150" name="Rounded Rectangle 104">
          <a:extLst>
            <a:ext uri="{FF2B5EF4-FFF2-40B4-BE49-F238E27FC236}">
              <a16:creationId xmlns:a16="http://schemas.microsoft.com/office/drawing/2014/main" id="{00000000-0008-0000-1300-000096000000}"/>
            </a:ext>
          </a:extLst>
        </xdr:cNvPr>
        <xdr:cNvSpPr>
          <a:spLocks/>
        </xdr:cNvSpPr>
      </xdr:nvSpPr>
      <xdr:spPr>
        <a:xfrm>
          <a:off x="8938359" y="5601393"/>
          <a:ext cx="1544564" cy="471099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19:40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 07:40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353493</xdr:colOff>
      <xdr:row>23</xdr:row>
      <xdr:rowOff>173542</xdr:rowOff>
    </xdr:from>
    <xdr:to>
      <xdr:col>12</xdr:col>
      <xdr:colOff>117722</xdr:colOff>
      <xdr:row>26</xdr:row>
      <xdr:rowOff>49949</xdr:rowOff>
    </xdr:to>
    <xdr:sp macro="" textlink="">
      <xdr:nvSpPr>
        <xdr:cNvPr id="151" name="Rounded Rectangle 104">
          <a:extLst>
            <a:ext uri="{FF2B5EF4-FFF2-40B4-BE49-F238E27FC236}">
              <a16:creationId xmlns:a16="http://schemas.microsoft.com/office/drawing/2014/main" id="{00000000-0008-0000-1300-000097000000}"/>
            </a:ext>
          </a:extLst>
        </xdr:cNvPr>
        <xdr:cNvSpPr>
          <a:spLocks/>
        </xdr:cNvSpPr>
      </xdr:nvSpPr>
      <xdr:spPr>
        <a:xfrm>
          <a:off x="8862493" y="4847142"/>
          <a:ext cx="1466029" cy="486007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TA  :   13:50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379170</xdr:colOff>
      <xdr:row>16</xdr:row>
      <xdr:rowOff>118864</xdr:rowOff>
    </xdr:from>
    <xdr:to>
      <xdr:col>12</xdr:col>
      <xdr:colOff>97705</xdr:colOff>
      <xdr:row>18</xdr:row>
      <xdr:rowOff>176619</xdr:rowOff>
    </xdr:to>
    <xdr:sp macro="" textlink="">
      <xdr:nvSpPr>
        <xdr:cNvPr id="152" name="Rounded Rectangle 104">
          <a:extLst>
            <a:ext uri="{FF2B5EF4-FFF2-40B4-BE49-F238E27FC236}">
              <a16:creationId xmlns:a16="http://schemas.microsoft.com/office/drawing/2014/main" id="{00000000-0008-0000-1300-000098000000}"/>
            </a:ext>
          </a:extLst>
        </xdr:cNvPr>
        <xdr:cNvSpPr>
          <a:spLocks/>
        </xdr:cNvSpPr>
      </xdr:nvSpPr>
      <xdr:spPr>
        <a:xfrm>
          <a:off x="8888170" y="3370064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12:50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00:50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118230</xdr:colOff>
      <xdr:row>31</xdr:row>
      <xdr:rowOff>17753</xdr:rowOff>
    </xdr:from>
    <xdr:to>
      <xdr:col>12</xdr:col>
      <xdr:colOff>243626</xdr:colOff>
      <xdr:row>34</xdr:row>
      <xdr:rowOff>45186</xdr:rowOff>
    </xdr:to>
    <xdr:sp macro="" textlink="">
      <xdr:nvSpPr>
        <xdr:cNvPr id="153" name="Rectangle 153">
          <a:extLst>
            <a:ext uri="{FF2B5EF4-FFF2-40B4-BE49-F238E27FC236}">
              <a16:creationId xmlns:a16="http://schemas.microsoft.com/office/drawing/2014/main" id="{00000000-0008-0000-1300-000099000000}"/>
            </a:ext>
          </a:extLst>
        </xdr:cNvPr>
        <xdr:cNvSpPr/>
      </xdr:nvSpPr>
      <xdr:spPr>
        <a:xfrm>
          <a:off x="969130" y="6316953"/>
          <a:ext cx="9485296" cy="6370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Fin de turno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Operarios abandonan instalación de faena y se dirigen a tomar movilización. </a:t>
          </a:r>
        </a:p>
      </xdr:txBody>
    </xdr:sp>
    <xdr:clientData/>
  </xdr:twoCellAnchor>
  <xdr:twoCellAnchor>
    <xdr:from>
      <xdr:col>1</xdr:col>
      <xdr:colOff>116416</xdr:colOff>
      <xdr:row>31</xdr:row>
      <xdr:rowOff>117323</xdr:rowOff>
    </xdr:from>
    <xdr:to>
      <xdr:col>1</xdr:col>
      <xdr:colOff>621651</xdr:colOff>
      <xdr:row>33</xdr:row>
      <xdr:rowOff>144664</xdr:rowOff>
    </xdr:to>
    <xdr:sp macro="" textlink="">
      <xdr:nvSpPr>
        <xdr:cNvPr id="154" name="Oval 144">
          <a:extLst>
            <a:ext uri="{FF2B5EF4-FFF2-40B4-BE49-F238E27FC236}">
              <a16:creationId xmlns:a16="http://schemas.microsoft.com/office/drawing/2014/main" id="{00000000-0008-0000-1300-00009A000000}"/>
            </a:ext>
          </a:extLst>
        </xdr:cNvPr>
        <xdr:cNvSpPr>
          <a:spLocks/>
        </xdr:cNvSpPr>
      </xdr:nvSpPr>
      <xdr:spPr>
        <a:xfrm>
          <a:off x="967316" y="6416523"/>
          <a:ext cx="505235" cy="433741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10</xdr:col>
      <xdr:colOff>358775</xdr:colOff>
      <xdr:row>31</xdr:row>
      <xdr:rowOff>75580</xdr:rowOff>
    </xdr:from>
    <xdr:to>
      <xdr:col>12</xdr:col>
      <xdr:colOff>172391</xdr:colOff>
      <xdr:row>33</xdr:row>
      <xdr:rowOff>172034</xdr:rowOff>
    </xdr:to>
    <xdr:sp macro="" textlink="">
      <xdr:nvSpPr>
        <xdr:cNvPr id="155" name="Rounded Rectangle 104">
          <a:extLst>
            <a:ext uri="{FF2B5EF4-FFF2-40B4-BE49-F238E27FC236}">
              <a16:creationId xmlns:a16="http://schemas.microsoft.com/office/drawing/2014/main" id="{00000000-0008-0000-1300-00009B000000}"/>
            </a:ext>
          </a:extLst>
        </xdr:cNvPr>
        <xdr:cNvSpPr>
          <a:spLocks/>
        </xdr:cNvSpPr>
      </xdr:nvSpPr>
      <xdr:spPr>
        <a:xfrm>
          <a:off x="8321675" y="6276355"/>
          <a:ext cx="1528116" cy="496504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20:00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08:00</a:t>
          </a: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421656</xdr:colOff>
      <xdr:row>28</xdr:row>
      <xdr:rowOff>83640</xdr:rowOff>
    </xdr:from>
    <xdr:to>
      <xdr:col>10</xdr:col>
      <xdr:colOff>405474</xdr:colOff>
      <xdr:row>29</xdr:row>
      <xdr:rowOff>95250</xdr:rowOff>
    </xdr:to>
    <xdr:pic>
      <xdr:nvPicPr>
        <xdr:cNvPr id="157" name="Picture 1976">
          <a:extLst>
            <a:ext uri="{FF2B5EF4-FFF2-40B4-BE49-F238E27FC236}">
              <a16:creationId xmlns:a16="http://schemas.microsoft.com/office/drawing/2014/main" id="{00000000-0008-0000-13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079756" y="5773240"/>
          <a:ext cx="834718" cy="21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384571</xdr:colOff>
      <xdr:row>16</xdr:row>
      <xdr:rowOff>32891</xdr:rowOff>
    </xdr:from>
    <xdr:to>
      <xdr:col>9</xdr:col>
      <xdr:colOff>722461</xdr:colOff>
      <xdr:row>18</xdr:row>
      <xdr:rowOff>129345</xdr:rowOff>
    </xdr:to>
    <xdr:pic>
      <xdr:nvPicPr>
        <xdr:cNvPr id="158" name="Picture 186">
          <a:extLst>
            <a:ext uri="{FF2B5EF4-FFF2-40B4-BE49-F238E27FC236}">
              <a16:creationId xmlns:a16="http://schemas.microsoft.com/office/drawing/2014/main" id="{00000000-0008-0000-13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42671" y="3284091"/>
          <a:ext cx="337890" cy="50285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505024</xdr:colOff>
      <xdr:row>23</xdr:row>
      <xdr:rowOff>184595</xdr:rowOff>
    </xdr:from>
    <xdr:to>
      <xdr:col>10</xdr:col>
      <xdr:colOff>162241</xdr:colOff>
      <xdr:row>26</xdr:row>
      <xdr:rowOff>65474</xdr:rowOff>
    </xdr:to>
    <xdr:pic>
      <xdr:nvPicPr>
        <xdr:cNvPr id="159" name="Picture 2">
          <a:extLst>
            <a:ext uri="{FF2B5EF4-FFF2-40B4-BE49-F238E27FC236}">
              <a16:creationId xmlns:a16="http://schemas.microsoft.com/office/drawing/2014/main" id="{00000000-0008-0000-13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5" t="39935" r="74018" b="14480"/>
        <a:stretch/>
      </xdr:blipFill>
      <xdr:spPr bwMode="auto">
        <a:xfrm>
          <a:off x="8163124" y="4858195"/>
          <a:ext cx="508117" cy="490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422245</xdr:colOff>
      <xdr:row>31</xdr:row>
      <xdr:rowOff>70982</xdr:rowOff>
    </xdr:from>
    <xdr:to>
      <xdr:col>9</xdr:col>
      <xdr:colOff>760135</xdr:colOff>
      <xdr:row>33</xdr:row>
      <xdr:rowOff>164261</xdr:rowOff>
    </xdr:to>
    <xdr:pic>
      <xdr:nvPicPr>
        <xdr:cNvPr id="160" name="Picture 186">
          <a:extLst>
            <a:ext uri="{FF2B5EF4-FFF2-40B4-BE49-F238E27FC236}">
              <a16:creationId xmlns:a16="http://schemas.microsoft.com/office/drawing/2014/main" id="{00000000-0008-0000-13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80345" y="6370182"/>
          <a:ext cx="337890" cy="4996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</xdr:col>
      <xdr:colOff>90907</xdr:colOff>
      <xdr:row>12</xdr:row>
      <xdr:rowOff>26827</xdr:rowOff>
    </xdr:from>
    <xdr:to>
      <xdr:col>12</xdr:col>
      <xdr:colOff>254000</xdr:colOff>
      <xdr:row>15</xdr:row>
      <xdr:rowOff>139700</xdr:rowOff>
    </xdr:to>
    <xdr:sp macro="" textlink="">
      <xdr:nvSpPr>
        <xdr:cNvPr id="161" name="Rectangle 153">
          <a:extLst>
            <a:ext uri="{FF2B5EF4-FFF2-40B4-BE49-F238E27FC236}">
              <a16:creationId xmlns:a16="http://schemas.microsoft.com/office/drawing/2014/main" id="{00000000-0008-0000-1300-0000A1000000}"/>
            </a:ext>
          </a:extLst>
        </xdr:cNvPr>
        <xdr:cNvSpPr/>
      </xdr:nvSpPr>
      <xdr:spPr>
        <a:xfrm>
          <a:off x="941807" y="2465227"/>
          <a:ext cx="9522993" cy="722473"/>
        </a:xfrm>
        <a:prstGeom prst="rect">
          <a:avLst/>
        </a:prstGeom>
        <a:noFill/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0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Charla, Entrega de Postura e inicio de actividades </a:t>
          </a: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Se realiza charla de Inicio de turno con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los operarios en sala de reuniones y se entregan  la pautas de Trabajo. Traslado a postura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limpieza del sector termino primera actividad </a:t>
          </a:r>
        </a:p>
        <a:p>
          <a:pPr rtl="0" eaLnBrk="0" fontAlgn="base" latinLnBrk="0" hangingPunct="0"/>
          <a:r>
            <a:rPr lang="es-ES" sz="1000" b="0" i="0" kern="1200" baseline="0">
              <a:solidFill>
                <a:schemeClr val="tx1"/>
              </a:solidFill>
              <a:effectLst/>
              <a:latin typeface="Arial" charset="0"/>
              <a:ea typeface="+mn-ea"/>
              <a:cs typeface="+mn-cs"/>
            </a:rPr>
            <a:t>  </a:t>
          </a:r>
          <a:endParaRPr kumimoji="0" lang="es-ES" sz="10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158336</xdr:colOff>
      <xdr:row>9</xdr:row>
      <xdr:rowOff>145190</xdr:rowOff>
    </xdr:from>
    <xdr:to>
      <xdr:col>1</xdr:col>
      <xdr:colOff>571499</xdr:colOff>
      <xdr:row>11</xdr:row>
      <xdr:rowOff>139699</xdr:rowOff>
    </xdr:to>
    <xdr:sp macro="" textlink="">
      <xdr:nvSpPr>
        <xdr:cNvPr id="162" name="Oval 144">
          <a:extLst>
            <a:ext uri="{FF2B5EF4-FFF2-40B4-BE49-F238E27FC236}">
              <a16:creationId xmlns:a16="http://schemas.microsoft.com/office/drawing/2014/main" id="{00000000-0008-0000-1300-0000A2000000}"/>
            </a:ext>
          </a:extLst>
        </xdr:cNvPr>
        <xdr:cNvSpPr>
          <a:spLocks/>
        </xdr:cNvSpPr>
      </xdr:nvSpPr>
      <xdr:spPr>
        <a:xfrm>
          <a:off x="1009236" y="1973990"/>
          <a:ext cx="413163" cy="400909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</xdr:col>
      <xdr:colOff>114767</xdr:colOff>
      <xdr:row>19</xdr:row>
      <xdr:rowOff>194698</xdr:rowOff>
    </xdr:from>
    <xdr:to>
      <xdr:col>12</xdr:col>
      <xdr:colOff>240163</xdr:colOff>
      <xdr:row>22</xdr:row>
      <xdr:rowOff>171933</xdr:rowOff>
    </xdr:to>
    <xdr:sp macro="" textlink="">
      <xdr:nvSpPr>
        <xdr:cNvPr id="163" name="Rectangle 153">
          <a:extLst>
            <a:ext uri="{FF2B5EF4-FFF2-40B4-BE49-F238E27FC236}">
              <a16:creationId xmlns:a16="http://schemas.microsoft.com/office/drawing/2014/main" id="{00000000-0008-0000-1300-0000A3000000}"/>
            </a:ext>
          </a:extLst>
        </xdr:cNvPr>
        <xdr:cNvSpPr/>
      </xdr:nvSpPr>
      <xdr:spPr>
        <a:xfrm>
          <a:off x="965667" y="4055498"/>
          <a:ext cx="9485296" cy="586835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Alimentación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Se dispone a almorzar en caso de que no lo haya hecho durante el turno.</a:t>
          </a:r>
        </a:p>
      </xdr:txBody>
    </xdr:sp>
    <xdr:clientData/>
  </xdr:twoCellAnchor>
  <xdr:twoCellAnchor>
    <xdr:from>
      <xdr:col>1</xdr:col>
      <xdr:colOff>110002</xdr:colOff>
      <xdr:row>16</xdr:row>
      <xdr:rowOff>122344</xdr:rowOff>
    </xdr:from>
    <xdr:to>
      <xdr:col>1</xdr:col>
      <xdr:colOff>615237</xdr:colOff>
      <xdr:row>18</xdr:row>
      <xdr:rowOff>152860</xdr:rowOff>
    </xdr:to>
    <xdr:sp macro="" textlink="">
      <xdr:nvSpPr>
        <xdr:cNvPr id="164" name="Oval 144">
          <a:extLst>
            <a:ext uri="{FF2B5EF4-FFF2-40B4-BE49-F238E27FC236}">
              <a16:creationId xmlns:a16="http://schemas.microsoft.com/office/drawing/2014/main" id="{00000000-0008-0000-1300-0000A4000000}"/>
            </a:ext>
          </a:extLst>
        </xdr:cNvPr>
        <xdr:cNvSpPr>
          <a:spLocks/>
        </xdr:cNvSpPr>
      </xdr:nvSpPr>
      <xdr:spPr>
        <a:xfrm>
          <a:off x="960902" y="3373544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10</xdr:col>
      <xdr:colOff>378841</xdr:colOff>
      <xdr:row>20</xdr:row>
      <xdr:rowOff>72995</xdr:rowOff>
    </xdr:from>
    <xdr:to>
      <xdr:col>12</xdr:col>
      <xdr:colOff>97376</xdr:colOff>
      <xdr:row>22</xdr:row>
      <xdr:rowOff>130750</xdr:rowOff>
    </xdr:to>
    <xdr:sp macro="" textlink="">
      <xdr:nvSpPr>
        <xdr:cNvPr id="165" name="Rounded Rectangle 104">
          <a:extLst>
            <a:ext uri="{FF2B5EF4-FFF2-40B4-BE49-F238E27FC236}">
              <a16:creationId xmlns:a16="http://schemas.microsoft.com/office/drawing/2014/main" id="{00000000-0008-0000-1300-0000A5000000}"/>
            </a:ext>
          </a:extLst>
        </xdr:cNvPr>
        <xdr:cNvSpPr>
          <a:spLocks/>
        </xdr:cNvSpPr>
      </xdr:nvSpPr>
      <xdr:spPr>
        <a:xfrm>
          <a:off x="8887841" y="4136995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13:00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63500</xdr:colOff>
      <xdr:row>6</xdr:row>
      <xdr:rowOff>101600</xdr:rowOff>
    </xdr:from>
    <xdr:to>
      <xdr:col>12</xdr:col>
      <xdr:colOff>182487</xdr:colOff>
      <xdr:row>8</xdr:row>
      <xdr:rowOff>165101</xdr:rowOff>
    </xdr:to>
    <xdr:sp macro="" textlink="">
      <xdr:nvSpPr>
        <xdr:cNvPr id="168" name="Rectangle 153">
          <a:extLst>
            <a:ext uri="{FF2B5EF4-FFF2-40B4-BE49-F238E27FC236}">
              <a16:creationId xmlns:a16="http://schemas.microsoft.com/office/drawing/2014/main" id="{00000000-0008-0000-1300-0000A8000000}"/>
            </a:ext>
          </a:extLst>
        </xdr:cNvPr>
        <xdr:cNvSpPr/>
      </xdr:nvSpPr>
      <xdr:spPr>
        <a:xfrm>
          <a:off x="914400" y="1320800"/>
          <a:ext cx="9478887" cy="469901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Llegada a instalaciones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Supervisor de terreno realiza desinfeccion de instalaciones</a:t>
          </a:r>
        </a:p>
      </xdr:txBody>
    </xdr:sp>
    <xdr:clientData/>
  </xdr:twoCellAnchor>
  <xdr:twoCellAnchor>
    <xdr:from>
      <xdr:col>1</xdr:col>
      <xdr:colOff>127000</xdr:colOff>
      <xdr:row>6</xdr:row>
      <xdr:rowOff>139700</xdr:rowOff>
    </xdr:from>
    <xdr:to>
      <xdr:col>1</xdr:col>
      <xdr:colOff>571500</xdr:colOff>
      <xdr:row>8</xdr:row>
      <xdr:rowOff>120650</xdr:rowOff>
    </xdr:to>
    <xdr:sp macro="" textlink="">
      <xdr:nvSpPr>
        <xdr:cNvPr id="169" name="Oval 144">
          <a:extLst>
            <a:ext uri="{FF2B5EF4-FFF2-40B4-BE49-F238E27FC236}">
              <a16:creationId xmlns:a16="http://schemas.microsoft.com/office/drawing/2014/main" id="{00000000-0008-0000-1300-0000A9000000}"/>
            </a:ext>
          </a:extLst>
        </xdr:cNvPr>
        <xdr:cNvSpPr>
          <a:spLocks/>
        </xdr:cNvSpPr>
      </xdr:nvSpPr>
      <xdr:spPr>
        <a:xfrm>
          <a:off x="977900" y="1358900"/>
          <a:ext cx="444500" cy="387350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1</a:t>
          </a:r>
        </a:p>
      </xdr:txBody>
    </xdr:sp>
    <xdr:clientData/>
  </xdr:twoCellAnchor>
  <xdr:twoCellAnchor>
    <xdr:from>
      <xdr:col>9</xdr:col>
      <xdr:colOff>558800</xdr:colOff>
      <xdr:row>6</xdr:row>
      <xdr:rowOff>123825</xdr:rowOff>
    </xdr:from>
    <xdr:to>
      <xdr:col>10</xdr:col>
      <xdr:colOff>38131</xdr:colOff>
      <xdr:row>9</xdr:row>
      <xdr:rowOff>17688</xdr:rowOff>
    </xdr:to>
    <xdr:pic>
      <xdr:nvPicPr>
        <xdr:cNvPr id="172" name="Picture 186">
          <a:extLst>
            <a:ext uri="{FF2B5EF4-FFF2-40B4-BE49-F238E27FC236}">
              <a16:creationId xmlns:a16="http://schemas.microsoft.com/office/drawing/2014/main" id="{00000000-0008-0000-13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16900" y="1343025"/>
          <a:ext cx="330231" cy="50346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298450</xdr:colOff>
      <xdr:row>6</xdr:row>
      <xdr:rowOff>114300</xdr:rowOff>
    </xdr:from>
    <xdr:to>
      <xdr:col>12</xdr:col>
      <xdr:colOff>68346</xdr:colOff>
      <xdr:row>8</xdr:row>
      <xdr:rowOff>150654</xdr:rowOff>
    </xdr:to>
    <xdr:sp macro="" textlink="">
      <xdr:nvSpPr>
        <xdr:cNvPr id="173" name="Rounded Rectangle 104">
          <a:extLst>
            <a:ext uri="{FF2B5EF4-FFF2-40B4-BE49-F238E27FC236}">
              <a16:creationId xmlns:a16="http://schemas.microsoft.com/office/drawing/2014/main" id="{00000000-0008-0000-1300-0000AD000000}"/>
            </a:ext>
          </a:extLst>
        </xdr:cNvPr>
        <xdr:cNvSpPr>
          <a:spLocks/>
        </xdr:cNvSpPr>
      </xdr:nvSpPr>
      <xdr:spPr>
        <a:xfrm>
          <a:off x="8807450" y="1333500"/>
          <a:ext cx="1471696" cy="442754"/>
        </a:xfrm>
        <a:prstGeom prst="roundRect">
          <a:avLst/>
        </a:prstGeom>
        <a:solidFill>
          <a:schemeClr val="bg1"/>
        </a:solidFill>
        <a:ln w="9525">
          <a:solidFill>
            <a:schemeClr val="bg1">
              <a:lumMod val="85000"/>
            </a:scheme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algn="ctr" defTabSz="896112"/>
          <a:endParaRPr lang="es-CO" sz="1200" b="1">
            <a:solidFill>
              <a:srgbClr val="000000"/>
            </a:solidFill>
          </a:endParaRP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TA  :   8:00</a:t>
          </a: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TB</a:t>
          </a:r>
          <a:r>
            <a:rPr lang="es-CO" sz="1200" b="1" baseline="0">
              <a:solidFill>
                <a:srgbClr val="000000"/>
              </a:solidFill>
            </a:rPr>
            <a:t> : 20:00</a:t>
          </a:r>
          <a:endParaRPr lang="es-CO" sz="1200" b="1">
            <a:solidFill>
              <a:srgbClr val="000000"/>
            </a:solidFill>
          </a:endParaRPr>
        </a:p>
        <a:p>
          <a:pPr algn="ctr" defTabSz="896112"/>
          <a:endParaRPr lang="es-CO" sz="1200" b="1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139700</xdr:colOff>
      <xdr:row>20</xdr:row>
      <xdr:rowOff>88900</xdr:rowOff>
    </xdr:from>
    <xdr:to>
      <xdr:col>1</xdr:col>
      <xdr:colOff>650516</xdr:colOff>
      <xdr:row>22</xdr:row>
      <xdr:rowOff>119121</xdr:rowOff>
    </xdr:to>
    <xdr:sp macro="" textlink="">
      <xdr:nvSpPr>
        <xdr:cNvPr id="175" name="Oval 144">
          <a:extLst>
            <a:ext uri="{FF2B5EF4-FFF2-40B4-BE49-F238E27FC236}">
              <a16:creationId xmlns:a16="http://schemas.microsoft.com/office/drawing/2014/main" id="{00000000-0008-0000-1300-0000AF000000}"/>
            </a:ext>
          </a:extLst>
        </xdr:cNvPr>
        <xdr:cNvSpPr>
          <a:spLocks/>
        </xdr:cNvSpPr>
      </xdr:nvSpPr>
      <xdr:spPr>
        <a:xfrm>
          <a:off x="990600" y="4152900"/>
          <a:ext cx="510816" cy="436621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5</a:t>
          </a:r>
        </a:p>
      </xdr:txBody>
    </xdr:sp>
    <xdr:clientData/>
  </xdr:twoCellAnchor>
  <xdr:twoCellAnchor>
    <xdr:from>
      <xdr:col>1</xdr:col>
      <xdr:colOff>165100</xdr:colOff>
      <xdr:row>27</xdr:row>
      <xdr:rowOff>139700</xdr:rowOff>
    </xdr:from>
    <xdr:to>
      <xdr:col>1</xdr:col>
      <xdr:colOff>662118</xdr:colOff>
      <xdr:row>29</xdr:row>
      <xdr:rowOff>172802</xdr:rowOff>
    </xdr:to>
    <xdr:sp macro="" textlink="">
      <xdr:nvSpPr>
        <xdr:cNvPr id="176" name="Oval 144">
          <a:extLst>
            <a:ext uri="{FF2B5EF4-FFF2-40B4-BE49-F238E27FC236}">
              <a16:creationId xmlns:a16="http://schemas.microsoft.com/office/drawing/2014/main" id="{00000000-0008-0000-1300-0000B0000000}"/>
            </a:ext>
          </a:extLst>
        </xdr:cNvPr>
        <xdr:cNvSpPr>
          <a:spLocks/>
        </xdr:cNvSpPr>
      </xdr:nvSpPr>
      <xdr:spPr>
        <a:xfrm>
          <a:off x="1016000" y="5626100"/>
          <a:ext cx="497018" cy="439502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7</a:t>
          </a:r>
        </a:p>
      </xdr:txBody>
    </xdr:sp>
    <xdr:clientData/>
  </xdr:twoCellAnchor>
  <xdr:twoCellAnchor>
    <xdr:from>
      <xdr:col>1</xdr:col>
      <xdr:colOff>761999</xdr:colOff>
      <xdr:row>27</xdr:row>
      <xdr:rowOff>57150</xdr:rowOff>
    </xdr:from>
    <xdr:to>
      <xdr:col>9</xdr:col>
      <xdr:colOff>396875</xdr:colOff>
      <xdr:row>30</xdr:row>
      <xdr:rowOff>41275</xdr:rowOff>
    </xdr:to>
    <xdr:sp macro="" textlink="">
      <xdr:nvSpPr>
        <xdr:cNvPr id="18434" name="Text Box 2">
          <a:extLst>
            <a:ext uri="{FF2B5EF4-FFF2-40B4-BE49-F238E27FC236}">
              <a16:creationId xmlns:a16="http://schemas.microsoft.com/office/drawing/2014/main" id="{00000000-0008-0000-1300-000002480000}"/>
            </a:ext>
          </a:extLst>
        </xdr:cNvPr>
        <xdr:cNvSpPr txBox="1">
          <a:spLocks noChangeArrowheads="1"/>
        </xdr:cNvSpPr>
      </xdr:nvSpPr>
      <xdr:spPr bwMode="auto">
        <a:xfrm>
          <a:off x="1612899" y="554355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Abandono postura y termino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revisa el trabajo ejecutado, asegurando el orden y la limpieza del área, así como de las 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herramientas y equipos utilizados. Una vez abandonada la postura, comunica la usuario DET</a:t>
          </a:r>
        </a:p>
      </xdr:txBody>
    </xdr:sp>
    <xdr:clientData/>
  </xdr:twoCellAnchor>
  <xdr:twoCellAnchor>
    <xdr:from>
      <xdr:col>1</xdr:col>
      <xdr:colOff>739774</xdr:colOff>
      <xdr:row>23</xdr:row>
      <xdr:rowOff>88900</xdr:rowOff>
    </xdr:from>
    <xdr:to>
      <xdr:col>9</xdr:col>
      <xdr:colOff>374650</xdr:colOff>
      <xdr:row>26</xdr:row>
      <xdr:rowOff>73025</xdr:rowOff>
    </xdr:to>
    <xdr:sp macro="" textlink="">
      <xdr:nvSpPr>
        <xdr:cNvPr id="64" name="Text Box 2">
          <a:extLst>
            <a:ext uri="{FF2B5EF4-FFF2-40B4-BE49-F238E27FC236}">
              <a16:creationId xmlns:a16="http://schemas.microsoft.com/office/drawing/2014/main" id="{00000000-0008-0000-1300-000040000000}"/>
            </a:ext>
          </a:extLst>
        </xdr:cNvPr>
        <xdr:cNvSpPr txBox="1">
          <a:spLocks noChangeArrowheads="1"/>
        </xdr:cNvSpPr>
      </xdr:nvSpPr>
      <xdr:spPr bwMode="auto">
        <a:xfrm>
          <a:off x="1590674" y="476250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Llegada a postura e inicio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de operarios revisa las condiciones del entorno, completan su ART y planifican la ejecución del trabajo a desarrollar durante la tarde.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18</xdr:row>
      <xdr:rowOff>25399</xdr:rowOff>
    </xdr:from>
    <xdr:to>
      <xdr:col>17</xdr:col>
      <xdr:colOff>508000</xdr:colOff>
      <xdr:row>53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306115</xdr:colOff>
      <xdr:row>50</xdr:row>
      <xdr:rowOff>114299</xdr:rowOff>
    </xdr:from>
    <xdr:to>
      <xdr:col>13</xdr:col>
      <xdr:colOff>25400</xdr:colOff>
      <xdr:row>51</xdr:row>
      <xdr:rowOff>145144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5088915" y="10718799"/>
          <a:ext cx="570185" cy="234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55A5317-D1FC-424F-BE11-1B0F56ADCC5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11</xdr:col>
      <xdr:colOff>434612</xdr:colOff>
      <xdr:row>50</xdr:row>
      <xdr:rowOff>152399</xdr:rowOff>
    </xdr:from>
    <xdr:to>
      <xdr:col>11</xdr:col>
      <xdr:colOff>977900</xdr:colOff>
      <xdr:row>51</xdr:row>
      <xdr:rowOff>172358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4049012" y="10756899"/>
          <a:ext cx="543288" cy="223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13</xdr:col>
      <xdr:colOff>701038</xdr:colOff>
      <xdr:row>50</xdr:row>
      <xdr:rowOff>50800</xdr:rowOff>
    </xdr:from>
    <xdr:to>
      <xdr:col>14</xdr:col>
      <xdr:colOff>558799</xdr:colOff>
      <xdr:row>51</xdr:row>
      <xdr:rowOff>158751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334738" y="10655300"/>
          <a:ext cx="708661" cy="311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15</xdr:col>
      <xdr:colOff>705756</xdr:colOff>
      <xdr:row>38</xdr:row>
      <xdr:rowOff>190500</xdr:rowOff>
    </xdr:from>
    <xdr:to>
      <xdr:col>16</xdr:col>
      <xdr:colOff>1206500</xdr:colOff>
      <xdr:row>40</xdr:row>
      <xdr:rowOff>47173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482456" y="8356600"/>
          <a:ext cx="1656444" cy="263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MISCELANEOTTE SUB</a:t>
          </a:r>
          <a:r>
            <a:rPr lang="es-CL" sz="1100" baseline="0"/>
            <a:t> 5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651327</xdr:colOff>
      <xdr:row>42</xdr:row>
      <xdr:rowOff>20864</xdr:rowOff>
    </xdr:from>
    <xdr:to>
      <xdr:col>16</xdr:col>
      <xdr:colOff>1202870</xdr:colOff>
      <xdr:row>43</xdr:row>
      <xdr:rowOff>116114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583727" y="8999764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5:51</a:t>
          </a:fld>
          <a:endParaRPr lang="es-CL" sz="1050"/>
        </a:p>
      </xdr:txBody>
    </xdr:sp>
    <xdr:clientData/>
  </xdr:twoCellAnchor>
  <xdr:twoCellAnchor>
    <xdr:from>
      <xdr:col>16</xdr:col>
      <xdr:colOff>651327</xdr:colOff>
      <xdr:row>44</xdr:row>
      <xdr:rowOff>123372</xdr:rowOff>
    </xdr:from>
    <xdr:to>
      <xdr:col>16</xdr:col>
      <xdr:colOff>1202870</xdr:colOff>
      <xdr:row>46</xdr:row>
      <xdr:rowOff>14515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583727" y="9508672"/>
          <a:ext cx="551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637720</xdr:colOff>
      <xdr:row>47</xdr:row>
      <xdr:rowOff>38101</xdr:rowOff>
    </xdr:from>
    <xdr:to>
      <xdr:col>16</xdr:col>
      <xdr:colOff>1189263</xdr:colOff>
      <xdr:row>48</xdr:row>
      <xdr:rowOff>133351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570120" y="10033001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15</xdr:col>
      <xdr:colOff>572406</xdr:colOff>
      <xdr:row>42</xdr:row>
      <xdr:rowOff>29936</xdr:rowOff>
    </xdr:from>
    <xdr:to>
      <xdr:col>16</xdr:col>
      <xdr:colOff>564243</xdr:colOff>
      <xdr:row>43</xdr:row>
      <xdr:rowOff>136071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49106" y="9008836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602342</xdr:colOff>
      <xdr:row>44</xdr:row>
      <xdr:rowOff>59871</xdr:rowOff>
    </xdr:from>
    <xdr:to>
      <xdr:col>16</xdr:col>
      <xdr:colOff>594179</xdr:colOff>
      <xdr:row>45</xdr:row>
      <xdr:rowOff>166007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379042" y="9445171"/>
          <a:ext cx="11475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577849</xdr:colOff>
      <xdr:row>47</xdr:row>
      <xdr:rowOff>8167</xdr:rowOff>
    </xdr:from>
    <xdr:to>
      <xdr:col>16</xdr:col>
      <xdr:colOff>569686</xdr:colOff>
      <xdr:row>48</xdr:row>
      <xdr:rowOff>114302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54549" y="10003067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1355951</xdr:colOff>
      <xdr:row>50</xdr:row>
      <xdr:rowOff>113394</xdr:rowOff>
    </xdr:from>
    <xdr:to>
      <xdr:col>10</xdr:col>
      <xdr:colOff>1845264</xdr:colOff>
      <xdr:row>52</xdr:row>
      <xdr:rowOff>5444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900251" y="10717894"/>
          <a:ext cx="48931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5:51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34775" y="2914650"/>
          <a:ext cx="5275035" cy="77198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198664</xdr:colOff>
      <xdr:row>50</xdr:row>
      <xdr:rowOff>111580</xdr:rowOff>
    </xdr:from>
    <xdr:to>
      <xdr:col>10</xdr:col>
      <xdr:colOff>756557</xdr:colOff>
      <xdr:row>52</xdr:row>
      <xdr:rowOff>3630</xdr:rowOff>
    </xdr:to>
    <xdr:sp macro="" textlink="G16">
      <xdr:nvSpPr>
        <xdr:cNvPr id="16" name="CuadroText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1742964" y="107160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 editAs="oneCell">
    <xdr:from>
      <xdr:col>2</xdr:col>
      <xdr:colOff>152400</xdr:colOff>
      <xdr:row>24</xdr:row>
      <xdr:rowOff>12700</xdr:rowOff>
    </xdr:from>
    <xdr:to>
      <xdr:col>6</xdr:col>
      <xdr:colOff>303675</xdr:colOff>
      <xdr:row>41</xdr:row>
      <xdr:rowOff>27225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0" y="5334000"/>
          <a:ext cx="4596275" cy="3468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103864</xdr:colOff>
      <xdr:row>13</xdr:row>
      <xdr:rowOff>137201</xdr:rowOff>
    </xdr:from>
    <xdr:to>
      <xdr:col>17</xdr:col>
      <xdr:colOff>825500</xdr:colOff>
      <xdr:row>49</xdr:row>
      <xdr:rowOff>100690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699814</xdr:colOff>
      <xdr:row>47</xdr:row>
      <xdr:rowOff>1</xdr:rowOff>
    </xdr:from>
    <xdr:to>
      <xdr:col>12</xdr:col>
      <xdr:colOff>1333499</xdr:colOff>
      <xdr:row>48</xdr:row>
      <xdr:rowOff>101601</xdr:rowOff>
    </xdr:to>
    <xdr:sp macro="" textlink="G19">
      <xdr:nvSpPr>
        <xdr:cNvPr id="36" name="CuadroTexto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 flipH="1">
          <a:off x="14733314" y="10134601"/>
          <a:ext cx="63368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6:06</a:t>
          </a:fld>
          <a:endParaRPr lang="es-CL" sz="1050"/>
        </a:p>
      </xdr:txBody>
    </xdr:sp>
    <xdr:clientData/>
  </xdr:twoCellAnchor>
  <xdr:twoCellAnchor>
    <xdr:from>
      <xdr:col>11</xdr:col>
      <xdr:colOff>741045</xdr:colOff>
      <xdr:row>47</xdr:row>
      <xdr:rowOff>12700</xdr:rowOff>
    </xdr:from>
    <xdr:to>
      <xdr:col>11</xdr:col>
      <xdr:colOff>1346200</xdr:colOff>
      <xdr:row>48</xdr:row>
      <xdr:rowOff>108859</xdr:rowOff>
    </xdr:to>
    <xdr:sp macro="" textlink="G18">
      <xdr:nvSpPr>
        <xdr:cNvPr id="37" name="CuadroText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 flipH="1">
          <a:off x="13415645" y="10147300"/>
          <a:ext cx="605155" cy="299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13</xdr:col>
      <xdr:colOff>650238</xdr:colOff>
      <xdr:row>47</xdr:row>
      <xdr:rowOff>0</xdr:rowOff>
    </xdr:from>
    <xdr:to>
      <xdr:col>14</xdr:col>
      <xdr:colOff>215899</xdr:colOff>
      <xdr:row>48</xdr:row>
      <xdr:rowOff>93979</xdr:rowOff>
    </xdr:to>
    <xdr:sp macro="" textlink="G20">
      <xdr:nvSpPr>
        <xdr:cNvPr id="38" name="CuadroText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16017238" y="10134600"/>
          <a:ext cx="543561" cy="2971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693056</xdr:colOff>
      <xdr:row>37</xdr:row>
      <xdr:rowOff>25400</xdr:rowOff>
    </xdr:from>
    <xdr:to>
      <xdr:col>17</xdr:col>
      <xdr:colOff>685800</xdr:colOff>
      <xdr:row>38</xdr:row>
      <xdr:rowOff>123373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17965056" y="8128000"/>
          <a:ext cx="1694544" cy="3011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</a:t>
          </a:r>
          <a:r>
            <a:rPr lang="es-CL" sz="1100" baseline="0"/>
            <a:t> SUB 6</a:t>
          </a:r>
          <a:endParaRPr lang="es-CL" sz="1100"/>
        </a:p>
      </xdr:txBody>
    </xdr:sp>
    <xdr:clientData/>
  </xdr:twoCellAnchor>
  <xdr:twoCellAnchor>
    <xdr:from>
      <xdr:col>17</xdr:col>
      <xdr:colOff>117927</xdr:colOff>
      <xdr:row>39</xdr:row>
      <xdr:rowOff>198664</xdr:rowOff>
    </xdr:from>
    <xdr:to>
      <xdr:col>17</xdr:col>
      <xdr:colOff>796470</xdr:colOff>
      <xdr:row>41</xdr:row>
      <xdr:rowOff>90714</xdr:rowOff>
    </xdr:to>
    <xdr:sp macro="" textlink="G21">
      <xdr:nvSpPr>
        <xdr:cNvPr id="40" name="CuadroText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/>
      </xdr:nvSpPr>
      <xdr:spPr>
        <a:xfrm>
          <a:off x="19091727" y="8707664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17</xdr:col>
      <xdr:colOff>117927</xdr:colOff>
      <xdr:row>42</xdr:row>
      <xdr:rowOff>97972</xdr:rowOff>
    </xdr:from>
    <xdr:to>
      <xdr:col>17</xdr:col>
      <xdr:colOff>796470</xdr:colOff>
      <xdr:row>43</xdr:row>
      <xdr:rowOff>192315</xdr:rowOff>
    </xdr:to>
    <xdr:sp macro="" textlink="G22">
      <xdr:nvSpPr>
        <xdr:cNvPr id="41" name="CuadroTexto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19091727" y="9216572"/>
          <a:ext cx="678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104320</xdr:colOff>
      <xdr:row>45</xdr:row>
      <xdr:rowOff>12701</xdr:rowOff>
    </xdr:from>
    <xdr:to>
      <xdr:col>17</xdr:col>
      <xdr:colOff>782863</xdr:colOff>
      <xdr:row>46</xdr:row>
      <xdr:rowOff>107951</xdr:rowOff>
    </xdr:to>
    <xdr:sp macro="" textlink="G23">
      <xdr:nvSpPr>
        <xdr:cNvPr id="42" name="CuadroTexto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19078120" y="9740901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15</xdr:col>
      <xdr:colOff>102506</xdr:colOff>
      <xdr:row>40</xdr:row>
      <xdr:rowOff>4536</xdr:rowOff>
    </xdr:from>
    <xdr:to>
      <xdr:col>17</xdr:col>
      <xdr:colOff>30843</xdr:colOff>
      <xdr:row>41</xdr:row>
      <xdr:rowOff>110671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17374506" y="8716736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132442</xdr:colOff>
      <xdr:row>42</xdr:row>
      <xdr:rowOff>34471</xdr:rowOff>
    </xdr:from>
    <xdr:to>
      <xdr:col>17</xdr:col>
      <xdr:colOff>60779</xdr:colOff>
      <xdr:row>43</xdr:row>
      <xdr:rowOff>140607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17404442" y="9153071"/>
          <a:ext cx="16301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107949</xdr:colOff>
      <xdr:row>44</xdr:row>
      <xdr:rowOff>185967</xdr:rowOff>
    </xdr:from>
    <xdr:to>
      <xdr:col>17</xdr:col>
      <xdr:colOff>36286</xdr:colOff>
      <xdr:row>46</xdr:row>
      <xdr:rowOff>88902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17379949" y="9710967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1444851</xdr:colOff>
      <xdr:row>47</xdr:row>
      <xdr:rowOff>16874</xdr:rowOff>
    </xdr:from>
    <xdr:to>
      <xdr:col>11</xdr:col>
      <xdr:colOff>101600</xdr:colOff>
      <xdr:row>48</xdr:row>
      <xdr:rowOff>101600</xdr:rowOff>
    </xdr:to>
    <xdr:sp macro="" textlink="G17">
      <xdr:nvSpPr>
        <xdr:cNvPr id="46" name="CuadroText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12201751" y="10151474"/>
          <a:ext cx="574449" cy="287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10</xdr:col>
      <xdr:colOff>12700</xdr:colOff>
      <xdr:row>9</xdr:row>
      <xdr:rowOff>76200</xdr:rowOff>
    </xdr:from>
    <xdr:to>
      <xdr:col>11</xdr:col>
      <xdr:colOff>17235</xdr:colOff>
      <xdr:row>13</xdr:row>
      <xdr:rowOff>16334</xdr:rowOff>
    </xdr:to>
    <xdr:sp macro="" textlink="">
      <xdr:nvSpPr>
        <xdr:cNvPr id="47" name="CuadroTexto 17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10769600" y="2489200"/>
          <a:ext cx="1922235" cy="75293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109764</xdr:colOff>
      <xdr:row>47</xdr:row>
      <xdr:rowOff>9980</xdr:rowOff>
    </xdr:from>
    <xdr:to>
      <xdr:col>10</xdr:col>
      <xdr:colOff>667657</xdr:colOff>
      <xdr:row>48</xdr:row>
      <xdr:rowOff>105230</xdr:rowOff>
    </xdr:to>
    <xdr:sp macro="" textlink="G16">
      <xdr:nvSpPr>
        <xdr:cNvPr id="48" name="CuadroTexto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10866664" y="101445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 editAs="oneCell">
    <xdr:from>
      <xdr:col>2</xdr:col>
      <xdr:colOff>368300</xdr:colOff>
      <xdr:row>25</xdr:row>
      <xdr:rowOff>114300</xdr:rowOff>
    </xdr:from>
    <xdr:to>
      <xdr:col>6</xdr:col>
      <xdr:colOff>557675</xdr:colOff>
      <xdr:row>42</xdr:row>
      <xdr:rowOff>128825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4900" y="5778500"/>
          <a:ext cx="4608975" cy="3468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169635</xdr:colOff>
      <xdr:row>17</xdr:row>
      <xdr:rowOff>197528</xdr:rowOff>
    </xdr:from>
    <xdr:to>
      <xdr:col>19</xdr:col>
      <xdr:colOff>749300</xdr:colOff>
      <xdr:row>53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41410</xdr:colOff>
      <xdr:row>51</xdr:row>
      <xdr:rowOff>76199</xdr:rowOff>
    </xdr:from>
    <xdr:to>
      <xdr:col>13</xdr:col>
      <xdr:colOff>609599</xdr:colOff>
      <xdr:row>52</xdr:row>
      <xdr:rowOff>139700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 flipH="1">
          <a:off x="15675110" y="10833099"/>
          <a:ext cx="568189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11</xdr:col>
      <xdr:colOff>478516</xdr:colOff>
      <xdr:row>51</xdr:row>
      <xdr:rowOff>63500</xdr:rowOff>
    </xdr:from>
    <xdr:to>
      <xdr:col>12</xdr:col>
      <xdr:colOff>139700</xdr:colOff>
      <xdr:row>52</xdr:row>
      <xdr:rowOff>181430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 flipH="1">
          <a:off x="14334216" y="10820400"/>
          <a:ext cx="588284" cy="321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9D2638C-6DCE-4721-9C8B-D2D552F7C72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14</xdr:col>
      <xdr:colOff>538478</xdr:colOff>
      <xdr:row>51</xdr:row>
      <xdr:rowOff>50800</xdr:rowOff>
    </xdr:from>
    <xdr:to>
      <xdr:col>15</xdr:col>
      <xdr:colOff>228600</xdr:colOff>
      <xdr:row>52</xdr:row>
      <xdr:rowOff>152400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 flipH="1">
          <a:off x="17023078" y="10807700"/>
          <a:ext cx="541022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17</xdr:col>
      <xdr:colOff>312965</xdr:colOff>
      <xdr:row>41</xdr:row>
      <xdr:rowOff>152400</xdr:rowOff>
    </xdr:from>
    <xdr:to>
      <xdr:col>18</xdr:col>
      <xdr:colOff>749300</xdr:colOff>
      <xdr:row>43</xdr:row>
      <xdr:rowOff>20864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19350265" y="8877300"/>
          <a:ext cx="1287235" cy="2748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PIPA NORTE</a:t>
          </a:r>
        </a:p>
      </xdr:txBody>
    </xdr:sp>
    <xdr:clientData/>
  </xdr:twoCellAnchor>
  <xdr:twoCellAnchor>
    <xdr:from>
      <xdr:col>18</xdr:col>
      <xdr:colOff>547912</xdr:colOff>
      <xdr:row>44</xdr:row>
      <xdr:rowOff>7258</xdr:rowOff>
    </xdr:from>
    <xdr:to>
      <xdr:col>19</xdr:col>
      <xdr:colOff>254905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19369312" y="93417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18</xdr:col>
      <xdr:colOff>547912</xdr:colOff>
      <xdr:row>46</xdr:row>
      <xdr:rowOff>71666</xdr:rowOff>
    </xdr:from>
    <xdr:to>
      <xdr:col>19</xdr:col>
      <xdr:colOff>254905</xdr:colOff>
      <xdr:row>47</xdr:row>
      <xdr:rowOff>166009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20436112" y="98125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534305</xdr:colOff>
      <xdr:row>49</xdr:row>
      <xdr:rowOff>24494</xdr:rowOff>
    </xdr:from>
    <xdr:to>
      <xdr:col>19</xdr:col>
      <xdr:colOff>241298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19355705" y="103749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101%</a:t>
          </a:fld>
          <a:endParaRPr lang="es-CL" sz="1050"/>
        </a:p>
      </xdr:txBody>
    </xdr:sp>
    <xdr:clientData/>
  </xdr:twoCellAnchor>
  <xdr:twoCellAnchor>
    <xdr:from>
      <xdr:col>16</xdr:col>
      <xdr:colOff>699406</xdr:colOff>
      <xdr:row>44</xdr:row>
      <xdr:rowOff>16330</xdr:rowOff>
    </xdr:from>
    <xdr:to>
      <xdr:col>17</xdr:col>
      <xdr:colOff>752928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8885806" y="93508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698862</xdr:colOff>
      <xdr:row>46</xdr:row>
      <xdr:rowOff>46265</xdr:rowOff>
    </xdr:from>
    <xdr:to>
      <xdr:col>17</xdr:col>
      <xdr:colOff>782864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18885262" y="97871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704849</xdr:colOff>
      <xdr:row>48</xdr:row>
      <xdr:rowOff>198668</xdr:rowOff>
    </xdr:from>
    <xdr:to>
      <xdr:col>17</xdr:col>
      <xdr:colOff>758371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18891249" y="103459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1137557</xdr:colOff>
      <xdr:row>51</xdr:row>
      <xdr:rowOff>95252</xdr:rowOff>
    </xdr:from>
    <xdr:to>
      <xdr:col>10</xdr:col>
      <xdr:colOff>361950</xdr:colOff>
      <xdr:row>52</xdr:row>
      <xdr:rowOff>189595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11615057" y="10852152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10</xdr:col>
      <xdr:colOff>1159282</xdr:colOff>
      <xdr:row>51</xdr:row>
      <xdr:rowOff>101600</xdr:rowOff>
    </xdr:from>
    <xdr:to>
      <xdr:col>10</xdr:col>
      <xdr:colOff>1752600</xdr:colOff>
      <xdr:row>52</xdr:row>
      <xdr:rowOff>192316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 flipH="1">
          <a:off x="12970282" y="10858500"/>
          <a:ext cx="593318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152401</xdr:colOff>
      <xdr:row>26</xdr:row>
      <xdr:rowOff>68427</xdr:rowOff>
    </xdr:from>
    <xdr:to>
      <xdr:col>7</xdr:col>
      <xdr:colOff>106681</xdr:colOff>
      <xdr:row>31</xdr:row>
      <xdr:rowOff>114300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1" y="5745327"/>
          <a:ext cx="43738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76200</xdr:rowOff>
    </xdr:from>
    <xdr:to>
      <xdr:col>5</xdr:col>
      <xdr:colOff>1065675</xdr:colOff>
      <xdr:row>41</xdr:row>
      <xdr:rowOff>90725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1500" y="5346700"/>
          <a:ext cx="4608975" cy="3468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65495</xdr:colOff>
      <xdr:row>17</xdr:row>
      <xdr:rowOff>57828</xdr:rowOff>
    </xdr:from>
    <xdr:to>
      <xdr:col>18</xdr:col>
      <xdr:colOff>1117600</xdr:colOff>
      <xdr:row>53</xdr:row>
      <xdr:rowOff>21317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892310</xdr:colOff>
      <xdr:row>51</xdr:row>
      <xdr:rowOff>139701</xdr:rowOff>
    </xdr:from>
    <xdr:to>
      <xdr:col>13</xdr:col>
      <xdr:colOff>419099</xdr:colOff>
      <xdr:row>53</xdr:row>
      <xdr:rowOff>27217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 flipH="1">
          <a:off x="15014710" y="10947401"/>
          <a:ext cx="542789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6:11</a:t>
          </a:fld>
          <a:endParaRPr lang="es-CL" sz="1050"/>
        </a:p>
      </xdr:txBody>
    </xdr:sp>
    <xdr:clientData/>
  </xdr:twoCellAnchor>
  <xdr:twoCellAnchor>
    <xdr:from>
      <xdr:col>11</xdr:col>
      <xdr:colOff>859516</xdr:colOff>
      <xdr:row>51</xdr:row>
      <xdr:rowOff>165100</xdr:rowOff>
    </xdr:from>
    <xdr:to>
      <xdr:col>12</xdr:col>
      <xdr:colOff>203200</xdr:colOff>
      <xdr:row>53</xdr:row>
      <xdr:rowOff>54430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 flipH="1">
          <a:off x="13788116" y="10972800"/>
          <a:ext cx="537484" cy="295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14</xdr:col>
      <xdr:colOff>640079</xdr:colOff>
      <xdr:row>51</xdr:row>
      <xdr:rowOff>127000</xdr:rowOff>
    </xdr:from>
    <xdr:to>
      <xdr:col>14</xdr:col>
      <xdr:colOff>1219200</xdr:colOff>
      <xdr:row>53</xdr:row>
      <xdr:rowOff>27216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 flipH="1">
          <a:off x="16248379" y="10934700"/>
          <a:ext cx="579121" cy="3066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6:06</a:t>
          </a:fld>
          <a:endParaRPr lang="es-CL" sz="1050"/>
        </a:p>
      </xdr:txBody>
    </xdr:sp>
    <xdr:clientData/>
  </xdr:twoCellAnchor>
  <xdr:twoCellAnchor>
    <xdr:from>
      <xdr:col>16</xdr:col>
      <xdr:colOff>224065</xdr:colOff>
      <xdr:row>41</xdr:row>
      <xdr:rowOff>118838</xdr:rowOff>
    </xdr:from>
    <xdr:to>
      <xdr:col>17</xdr:col>
      <xdr:colOff>901700</xdr:colOff>
      <xdr:row>42</xdr:row>
      <xdr:rowOff>173264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17953265" y="8894538"/>
          <a:ext cx="1985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DIABLO</a:t>
          </a:r>
          <a:r>
            <a:rPr lang="es-CL" sz="1100" baseline="0"/>
            <a:t> REGIMIENTO</a:t>
          </a:r>
          <a:endParaRPr lang="es-CL" sz="1100"/>
        </a:p>
      </xdr:txBody>
    </xdr:sp>
    <xdr:clientData/>
  </xdr:twoCellAnchor>
  <xdr:twoCellAnchor>
    <xdr:from>
      <xdr:col>17</xdr:col>
      <xdr:colOff>230412</xdr:colOff>
      <xdr:row>44</xdr:row>
      <xdr:rowOff>8164</xdr:rowOff>
    </xdr:from>
    <xdr:to>
      <xdr:col>17</xdr:col>
      <xdr:colOff>872873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19267712" y="9393464"/>
          <a:ext cx="642461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17</xdr:col>
      <xdr:colOff>230412</xdr:colOff>
      <xdr:row>46</xdr:row>
      <xdr:rowOff>110669</xdr:rowOff>
    </xdr:from>
    <xdr:to>
      <xdr:col>17</xdr:col>
      <xdr:colOff>872873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19267712" y="9902369"/>
          <a:ext cx="642461" cy="296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216805</xdr:colOff>
      <xdr:row>49</xdr:row>
      <xdr:rowOff>25400</xdr:rowOff>
    </xdr:from>
    <xdr:to>
      <xdr:col>17</xdr:col>
      <xdr:colOff>889000</xdr:colOff>
      <xdr:row>50</xdr:row>
      <xdr:rowOff>119744</xdr:rowOff>
    </xdr:to>
    <xdr:sp macro="" textlink="G23">
      <xdr:nvSpPr>
        <xdr:cNvPr id="27" name="CuadroTexto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19254105" y="10426700"/>
          <a:ext cx="672195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101%</a:t>
          </a:fld>
          <a:endParaRPr lang="es-CL" sz="1050"/>
        </a:p>
      </xdr:txBody>
    </xdr:sp>
    <xdr:clientData/>
  </xdr:twoCellAnchor>
  <xdr:twoCellAnchor>
    <xdr:from>
      <xdr:col>16</xdr:col>
      <xdr:colOff>115206</xdr:colOff>
      <xdr:row>44</xdr:row>
      <xdr:rowOff>16330</xdr:rowOff>
    </xdr:from>
    <xdr:to>
      <xdr:col>17</xdr:col>
      <xdr:colOff>143328</xdr:colOff>
      <xdr:row>45</xdr:row>
      <xdr:rowOff>122465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17844406" y="9401630"/>
          <a:ext cx="13362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145142</xdr:colOff>
      <xdr:row>46</xdr:row>
      <xdr:rowOff>46265</xdr:rowOff>
    </xdr:from>
    <xdr:to>
      <xdr:col>17</xdr:col>
      <xdr:colOff>173264</xdr:colOff>
      <xdr:row>47</xdr:row>
      <xdr:rowOff>152401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7874342" y="9837965"/>
          <a:ext cx="13362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120649</xdr:colOff>
      <xdr:row>48</xdr:row>
      <xdr:rowOff>198668</xdr:rowOff>
    </xdr:from>
    <xdr:to>
      <xdr:col>17</xdr:col>
      <xdr:colOff>148771</xdr:colOff>
      <xdr:row>50</xdr:row>
      <xdr:rowOff>100695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17849849" y="10396768"/>
          <a:ext cx="13362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52</xdr:row>
      <xdr:rowOff>0</xdr:rowOff>
    </xdr:from>
    <xdr:to>
      <xdr:col>10</xdr:col>
      <xdr:colOff>406400</xdr:colOff>
      <xdr:row>53</xdr:row>
      <xdr:rowOff>62595</xdr:rowOff>
    </xdr:to>
    <xdr:sp macro="" textlink="G16">
      <xdr:nvSpPr>
        <xdr:cNvPr id="34" name="CuadroTexto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11322957" y="11010900"/>
          <a:ext cx="538843" cy="26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10</xdr:col>
      <xdr:colOff>1086529</xdr:colOff>
      <xdr:row>51</xdr:row>
      <xdr:rowOff>173266</xdr:rowOff>
    </xdr:from>
    <xdr:to>
      <xdr:col>11</xdr:col>
      <xdr:colOff>117882</xdr:colOff>
      <xdr:row>53</xdr:row>
      <xdr:rowOff>65316</xdr:rowOff>
    </xdr:to>
    <xdr:sp macro="" textlink="G17">
      <xdr:nvSpPr>
        <xdr:cNvPr id="35" name="CuadroTexto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12541929" y="10980966"/>
          <a:ext cx="50455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6:04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6" name="CuadroTexto 17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571501</xdr:colOff>
      <xdr:row>25</xdr:row>
      <xdr:rowOff>81127</xdr:rowOff>
    </xdr:from>
    <xdr:to>
      <xdr:col>6</xdr:col>
      <xdr:colOff>502921</xdr:colOff>
      <xdr:row>30</xdr:row>
      <xdr:rowOff>127000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8101" y="5605627"/>
          <a:ext cx="437642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25</xdr:row>
      <xdr:rowOff>127000</xdr:rowOff>
    </xdr:from>
    <xdr:to>
      <xdr:col>6</xdr:col>
      <xdr:colOff>316375</xdr:colOff>
      <xdr:row>42</xdr:row>
      <xdr:rowOff>141525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1700" y="5651500"/>
          <a:ext cx="4608975" cy="3468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12155</xdr:colOff>
      <xdr:row>17</xdr:row>
      <xdr:rowOff>19728</xdr:rowOff>
    </xdr:from>
    <xdr:to>
      <xdr:col>20</xdr:col>
      <xdr:colOff>558800</xdr:colOff>
      <xdr:row>52</xdr:row>
      <xdr:rowOff>186417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177800</xdr:rowOff>
    </xdr:from>
    <xdr:to>
      <xdr:col>14</xdr:col>
      <xdr:colOff>139699</xdr:colOff>
      <xdr:row>53</xdr:row>
      <xdr:rowOff>27216</xdr:rowOff>
    </xdr:to>
    <xdr:sp macro="" textlink="G19">
      <xdr:nvSpPr>
        <xdr:cNvPr id="29" name="CuadroTexto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 flipH="1">
          <a:off x="13881870" y="111760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10:28</a:t>
          </a:fld>
          <a:endParaRPr lang="es-CL" sz="1050"/>
        </a:p>
      </xdr:txBody>
    </xdr:sp>
    <xdr:clientData/>
  </xdr:twoCellAnchor>
  <xdr:twoCellAnchor>
    <xdr:from>
      <xdr:col>12</xdr:col>
      <xdr:colOff>82276</xdr:colOff>
      <xdr:row>51</xdr:row>
      <xdr:rowOff>165100</xdr:rowOff>
    </xdr:from>
    <xdr:to>
      <xdr:col>12</xdr:col>
      <xdr:colOff>635000</xdr:colOff>
      <xdr:row>53</xdr:row>
      <xdr:rowOff>63500</xdr:rowOff>
    </xdr:to>
    <xdr:sp macro="" textlink="G18">
      <xdr:nvSpPr>
        <xdr:cNvPr id="30" name="CuadroTexto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 flipH="1">
          <a:off x="12629876" y="11163300"/>
          <a:ext cx="552724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10:49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31" name="CuadroTexto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 flipH="1">
          <a:off x="15394939" y="11163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10:26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16848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AGUA ACIDA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33" name="CuadroTexto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17997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10:34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34" name="CuadroTexto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17997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10:10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35" name="CuadroTexto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17984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17006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/>
      </xdr:nvSpPr>
      <xdr:spPr>
        <a:xfrm>
          <a:off x="17005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/>
      </xdr:nvSpPr>
      <xdr:spPr>
        <a:xfrm>
          <a:off x="17011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9" name="CuadroTexto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/>
      </xdr:nvSpPr>
      <xdr:spPr>
        <a:xfrm>
          <a:off x="10075817" y="11125200"/>
          <a:ext cx="503283" cy="3038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10:35</a:t>
          </a:fld>
          <a:endParaRPr lang="es-CL" sz="1050"/>
        </a:p>
      </xdr:txBody>
    </xdr:sp>
    <xdr:clientData/>
  </xdr:twoCellAnchor>
  <xdr:twoCellAnchor>
    <xdr:from>
      <xdr:col>10</xdr:col>
      <xdr:colOff>1442129</xdr:colOff>
      <xdr:row>51</xdr:row>
      <xdr:rowOff>165100</xdr:rowOff>
    </xdr:from>
    <xdr:to>
      <xdr:col>11</xdr:col>
      <xdr:colOff>165100</xdr:colOff>
      <xdr:row>53</xdr:row>
      <xdr:rowOff>78016</xdr:rowOff>
    </xdr:to>
    <xdr:sp macro="" textlink="G17">
      <xdr:nvSpPr>
        <xdr:cNvPr id="40" name="CuadroTexto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/>
      </xdr:nvSpPr>
      <xdr:spPr>
        <a:xfrm>
          <a:off x="11335429" y="11163300"/>
          <a:ext cx="526371" cy="319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1" name="CuadroTexto 17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1231901</xdr:colOff>
      <xdr:row>31</xdr:row>
      <xdr:rowOff>76200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1</xdr:col>
      <xdr:colOff>774700</xdr:colOff>
      <xdr:row>24</xdr:row>
      <xdr:rowOff>114300</xdr:rowOff>
    </xdr:from>
    <xdr:to>
      <xdr:col>6</xdr:col>
      <xdr:colOff>202075</xdr:colOff>
      <xdr:row>41</xdr:row>
      <xdr:rowOff>128825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100" y="5626100"/>
          <a:ext cx="4608975" cy="3468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609055</xdr:colOff>
      <xdr:row>15</xdr:row>
      <xdr:rowOff>190500</xdr:rowOff>
    </xdr:from>
    <xdr:to>
      <xdr:col>22</xdr:col>
      <xdr:colOff>342900</xdr:colOff>
      <xdr:row>51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135390</xdr:colOff>
      <xdr:row>48</xdr:row>
      <xdr:rowOff>190500</xdr:rowOff>
    </xdr:from>
    <xdr:to>
      <xdr:col>17</xdr:col>
      <xdr:colOff>647699</xdr:colOff>
      <xdr:row>50</xdr:row>
      <xdr:rowOff>39916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 flipH="1">
          <a:off x="15273790" y="10528300"/>
          <a:ext cx="51230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6:11</a:t>
          </a:fld>
          <a:endParaRPr lang="es-CL" sz="1050"/>
        </a:p>
      </xdr:txBody>
    </xdr:sp>
    <xdr:clientData/>
  </xdr:twoCellAnchor>
  <xdr:twoCellAnchor>
    <xdr:from>
      <xdr:col>15</xdr:col>
      <xdr:colOff>736600</xdr:colOff>
      <xdr:row>49</xdr:row>
      <xdr:rowOff>0</xdr:rowOff>
    </xdr:from>
    <xdr:to>
      <xdr:col>16</xdr:col>
      <xdr:colOff>368300</xdr:colOff>
      <xdr:row>50</xdr:row>
      <xdr:rowOff>41730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 flipH="1">
          <a:off x="14173200" y="10541000"/>
          <a:ext cx="482600" cy="244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5:49</a:t>
          </a:fld>
          <a:endParaRPr lang="es-CL" sz="1050"/>
        </a:p>
      </xdr:txBody>
    </xdr:sp>
    <xdr:clientData/>
  </xdr:twoCellAnchor>
  <xdr:twoCellAnchor>
    <xdr:from>
      <xdr:col>18</xdr:col>
      <xdr:colOff>365759</xdr:colOff>
      <xdr:row>48</xdr:row>
      <xdr:rowOff>177800</xdr:rowOff>
    </xdr:from>
    <xdr:to>
      <xdr:col>19</xdr:col>
      <xdr:colOff>177800</xdr:colOff>
      <xdr:row>50</xdr:row>
      <xdr:rowOff>39916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 flipH="1">
          <a:off x="16355059" y="10515600"/>
          <a:ext cx="6629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20</xdr:col>
      <xdr:colOff>236765</xdr:colOff>
      <xdr:row>41</xdr:row>
      <xdr:rowOff>25400</xdr:rowOff>
    </xdr:from>
    <xdr:to>
      <xdr:col>21</xdr:col>
      <xdr:colOff>711200</xdr:colOff>
      <xdr:row>42</xdr:row>
      <xdr:rowOff>122464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17927865" y="8940800"/>
          <a:ext cx="1414235" cy="300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SALVATAJE</a:t>
          </a:r>
        </a:p>
      </xdr:txBody>
    </xdr:sp>
    <xdr:clientData/>
  </xdr:twoCellAnchor>
  <xdr:twoCellAnchor>
    <xdr:from>
      <xdr:col>21</xdr:col>
      <xdr:colOff>370112</xdr:colOff>
      <xdr:row>43</xdr:row>
      <xdr:rowOff>139700</xdr:rowOff>
    </xdr:from>
    <xdr:to>
      <xdr:col>22</xdr:col>
      <xdr:colOff>114300</xdr:colOff>
      <xdr:row>45</xdr:row>
      <xdr:rowOff>908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19001012" y="9461500"/>
          <a:ext cx="595088" cy="267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21</xdr:col>
      <xdr:colOff>357412</xdr:colOff>
      <xdr:row>45</xdr:row>
      <xdr:rowOff>139700</xdr:rowOff>
    </xdr:from>
    <xdr:to>
      <xdr:col>22</xdr:col>
      <xdr:colOff>101600</xdr:colOff>
      <xdr:row>47</xdr:row>
      <xdr:rowOff>909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18988312" y="9867900"/>
          <a:ext cx="595088" cy="267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21</xdr:col>
      <xdr:colOff>356505</xdr:colOff>
      <xdr:row>48</xdr:row>
      <xdr:rowOff>0</xdr:rowOff>
    </xdr:from>
    <xdr:to>
      <xdr:col>22</xdr:col>
      <xdr:colOff>50800</xdr:colOff>
      <xdr:row>49</xdr:row>
      <xdr:rowOff>43544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18987405" y="10337800"/>
          <a:ext cx="545195" cy="24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20</xdr:col>
      <xdr:colOff>166006</xdr:colOff>
      <xdr:row>43</xdr:row>
      <xdr:rowOff>152400</xdr:rowOff>
    </xdr:from>
    <xdr:to>
      <xdr:col>21</xdr:col>
      <xdr:colOff>114300</xdr:colOff>
      <xdr:row>44</xdr:row>
      <xdr:rowOff>185965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7857106" y="9474200"/>
          <a:ext cx="888094" cy="236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20</xdr:col>
      <xdr:colOff>170542</xdr:colOff>
      <xdr:row>45</xdr:row>
      <xdr:rowOff>139699</xdr:rowOff>
    </xdr:from>
    <xdr:to>
      <xdr:col>21</xdr:col>
      <xdr:colOff>139700</xdr:colOff>
      <xdr:row>47</xdr:row>
      <xdr:rowOff>12700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7861642" y="9867899"/>
          <a:ext cx="908958" cy="279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20</xdr:col>
      <xdr:colOff>158748</xdr:colOff>
      <xdr:row>48</xdr:row>
      <xdr:rowOff>1</xdr:rowOff>
    </xdr:from>
    <xdr:to>
      <xdr:col>21</xdr:col>
      <xdr:colOff>253999</xdr:colOff>
      <xdr:row>49</xdr:row>
      <xdr:rowOff>63501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17849848" y="10337801"/>
          <a:ext cx="1035051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13</xdr:col>
      <xdr:colOff>360317</xdr:colOff>
      <xdr:row>49</xdr:row>
      <xdr:rowOff>12700</xdr:rowOff>
    </xdr:from>
    <xdr:to>
      <xdr:col>13</xdr:col>
      <xdr:colOff>901700</xdr:colOff>
      <xdr:row>50</xdr:row>
      <xdr:rowOff>88900</xdr:rowOff>
    </xdr:to>
    <xdr:sp macro="" textlink="G16">
      <xdr:nvSpPr>
        <xdr:cNvPr id="13" name="CuadroTex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11930017" y="10553700"/>
          <a:ext cx="541383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14</xdr:col>
      <xdr:colOff>451529</xdr:colOff>
      <xdr:row>49</xdr:row>
      <xdr:rowOff>12700</xdr:rowOff>
    </xdr:from>
    <xdr:to>
      <xdr:col>15</xdr:col>
      <xdr:colOff>127000</xdr:colOff>
      <xdr:row>50</xdr:row>
      <xdr:rowOff>65316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13037229" y="10553700"/>
          <a:ext cx="52637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10744200" y="2979420"/>
          <a:ext cx="257755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8</xdr:col>
      <xdr:colOff>284481</xdr:colOff>
      <xdr:row>31</xdr:row>
      <xdr:rowOff>76200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411980" cy="103647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152400</xdr:rowOff>
    </xdr:from>
    <xdr:to>
      <xdr:col>8</xdr:col>
      <xdr:colOff>346855</xdr:colOff>
      <xdr:row>42</xdr:row>
      <xdr:rowOff>166925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5400" y="5816600"/>
          <a:ext cx="4601355" cy="3468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507455</xdr:colOff>
      <xdr:row>16</xdr:row>
      <xdr:rowOff>146728</xdr:rowOff>
    </xdr:from>
    <xdr:to>
      <xdr:col>21</xdr:col>
      <xdr:colOff>203200</xdr:colOff>
      <xdr:row>52</xdr:row>
      <xdr:rowOff>110217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20" name="CuadroTexto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/>
      </xdr:nvSpPr>
      <xdr:spPr>
        <a:xfrm flipH="1">
          <a:off x="12662670" y="11150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21" name="CuadroTexto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 flipH="1">
          <a:off x="11448776" y="11137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22" name="CuadroTexto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 flipH="1">
          <a:off x="154355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6:09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168940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VENTILACIÓN LOCAL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24" name="CuadroTexto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180459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6:04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180459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6" name="CuadroTexto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180323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101%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170519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170513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/>
      </xdr:nvSpPr>
      <xdr:spPr>
        <a:xfrm>
          <a:off x="170573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0" name="CuadroTexto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101037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31" name="CuadroTexto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 txBox="1"/>
      </xdr:nvSpPr>
      <xdr:spPr>
        <a:xfrm>
          <a:off x="10316889" y="11150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2" name="CuadroTexto 17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 txBox="1"/>
      </xdr:nvSpPr>
      <xdr:spPr>
        <a:xfrm>
          <a:off x="9921240" y="3177540"/>
          <a:ext cx="18079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203201</xdr:colOff>
      <xdr:row>26</xdr:row>
      <xdr:rowOff>43027</xdr:rowOff>
    </xdr:from>
    <xdr:to>
      <xdr:col>6</xdr:col>
      <xdr:colOff>855981</xdr:colOff>
      <xdr:row>31</xdr:row>
      <xdr:rowOff>88900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0901" y="5961227"/>
          <a:ext cx="43865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127000</xdr:rowOff>
    </xdr:from>
    <xdr:to>
      <xdr:col>6</xdr:col>
      <xdr:colOff>278275</xdr:colOff>
      <xdr:row>41</xdr:row>
      <xdr:rowOff>141525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0800" y="5638800"/>
          <a:ext cx="4608975" cy="3468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151855</xdr:colOff>
      <xdr:row>15</xdr:row>
      <xdr:rowOff>108628</xdr:rowOff>
    </xdr:from>
    <xdr:to>
      <xdr:col>21</xdr:col>
      <xdr:colOff>698500</xdr:colOff>
      <xdr:row>51</xdr:row>
      <xdr:rowOff>72117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 flipH="1">
          <a:off x="1269823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6:06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 flipH="1">
          <a:off x="1147925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6:22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 flipH="1">
          <a:off x="137439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19</xdr:col>
      <xdr:colOff>452665</xdr:colOff>
      <xdr:row>41</xdr:row>
      <xdr:rowOff>68038</xdr:rowOff>
    </xdr:from>
    <xdr:to>
      <xdr:col>21</xdr:col>
      <xdr:colOff>609600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175595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PUERTAS MINA</a:t>
          </a:r>
        </a:p>
      </xdr:txBody>
    </xdr:sp>
    <xdr:clientData/>
  </xdr:twoCellAnchor>
  <xdr:twoCellAnchor>
    <xdr:from>
      <xdr:col>20</xdr:col>
      <xdr:colOff>751112</xdr:colOff>
      <xdr:row>44</xdr:row>
      <xdr:rowOff>7258</xdr:rowOff>
    </xdr:from>
    <xdr:to>
      <xdr:col>21</xdr:col>
      <xdr:colOff>458105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 txBox="1"/>
      </xdr:nvSpPr>
      <xdr:spPr>
        <a:xfrm>
          <a:off x="187089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6:17</a:t>
          </a:fld>
          <a:endParaRPr lang="es-CL" sz="1050"/>
        </a:p>
      </xdr:txBody>
    </xdr:sp>
    <xdr:clientData/>
  </xdr:twoCellAnchor>
  <xdr:twoCellAnchor>
    <xdr:from>
      <xdr:col>20</xdr:col>
      <xdr:colOff>751112</xdr:colOff>
      <xdr:row>46</xdr:row>
      <xdr:rowOff>109766</xdr:rowOff>
    </xdr:from>
    <xdr:to>
      <xdr:col>21</xdr:col>
      <xdr:colOff>458105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 txBox="1"/>
      </xdr:nvSpPr>
      <xdr:spPr>
        <a:xfrm>
          <a:off x="187089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737505</xdr:colOff>
      <xdr:row>49</xdr:row>
      <xdr:rowOff>24494</xdr:rowOff>
    </xdr:from>
    <xdr:to>
      <xdr:col>21</xdr:col>
      <xdr:colOff>444498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186953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105%</a:t>
          </a:fld>
          <a:endParaRPr lang="es-CL" sz="1050"/>
        </a:p>
      </xdr:txBody>
    </xdr:sp>
    <xdr:clientData/>
  </xdr:twoCellAnchor>
  <xdr:twoCellAnchor>
    <xdr:from>
      <xdr:col>19</xdr:col>
      <xdr:colOff>610506</xdr:colOff>
      <xdr:row>44</xdr:row>
      <xdr:rowOff>16330</xdr:rowOff>
    </xdr:from>
    <xdr:to>
      <xdr:col>20</xdr:col>
      <xdr:colOff>664028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177174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609962</xdr:colOff>
      <xdr:row>46</xdr:row>
      <xdr:rowOff>46265</xdr:rowOff>
    </xdr:from>
    <xdr:to>
      <xdr:col>20</xdr:col>
      <xdr:colOff>693964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177168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615949</xdr:colOff>
      <xdr:row>48</xdr:row>
      <xdr:rowOff>198668</xdr:rowOff>
    </xdr:from>
    <xdr:to>
      <xdr:col>20</xdr:col>
      <xdr:colOff>669471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177228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93646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1034482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91821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180341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24</xdr:row>
      <xdr:rowOff>177800</xdr:rowOff>
    </xdr:from>
    <xdr:to>
      <xdr:col>6</xdr:col>
      <xdr:colOff>849775</xdr:colOff>
      <xdr:row>41</xdr:row>
      <xdr:rowOff>192325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6900" y="5689600"/>
          <a:ext cx="4608975" cy="3468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134" displayName="Tabla134" ref="M2:V71" totalsRowShown="0">
  <autoFilter ref="M2:V71" xr:uid="{00000000-0009-0000-0100-000003000000}"/>
  <sortState xmlns:xlrd2="http://schemas.microsoft.com/office/spreadsheetml/2017/richdata2" ref="M2:S35">
    <sortCondition ref="M2"/>
  </sortState>
  <tableColumns count="10">
    <tableColumn id="2" xr3:uid="{00000000-0010-0000-0000-000002000000}" name="Columna2" dataDxfId="203">
      <calculatedColumnFormula>Tabla5[[#This Row],[Columna1]]</calculatedColumnFormula>
    </tableColumn>
    <tableColumn id="9" xr3:uid="{00000000-0010-0000-0000-000009000000}" name="Columna22" dataDxfId="202"/>
    <tableColumn id="8" xr3:uid="{00000000-0010-0000-0000-000008000000}" name="Columna3" dataDxfId="201"/>
    <tableColumn id="3" xr3:uid="{00000000-0010-0000-0000-000003000000}" name="Llegada a instalación" dataDxfId="200">
      <calculatedColumnFormula>D3</calculatedColumnFormula>
    </tableColumn>
    <tableColumn id="4" xr3:uid="{00000000-0010-0000-0000-000004000000}" name="Tiempo en instalación " dataDxfId="199">
      <calculatedColumnFormula>E3-D3</calculatedColumnFormula>
    </tableColumn>
    <tableColumn id="5" xr3:uid="{00000000-0010-0000-0000-000005000000}" name="Traslado a postura " dataDxfId="198">
      <calculatedColumnFormula>F3-E3</calculatedColumnFormula>
    </tableColumn>
    <tableColumn id="6" xr3:uid="{00000000-0010-0000-0000-000006000000}" name="Tiempo disponible AM" dataDxfId="197">
      <calculatedColumnFormula>#REF!-F3</calculatedColumnFormula>
    </tableColumn>
    <tableColumn id="12" xr3:uid="{00000000-0010-0000-0000-00000C000000}" name="Traslado Colación" dataDxfId="196">
      <calculatedColumnFormula>H3-G3</calculatedColumnFormula>
    </tableColumn>
    <tableColumn id="7" xr3:uid="{00000000-0010-0000-0000-000007000000}" name="Almuerzo" dataDxfId="195">
      <calculatedColumnFormula>#REF!-#REF!</calculatedColumnFormula>
    </tableColumn>
    <tableColumn id="10" xr3:uid="{00000000-0010-0000-0000-00000A000000}" name="Tiempo disponible PM" dataDxfId="194">
      <calculatedColumnFormula>#REF!-#REF!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9000000}" name="Tabla538" displayName="Tabla538" ref="A2:J23" totalsRowShown="0" headerRowDxfId="108" dataDxfId="107" tableBorderDxfId="106">
  <autoFilter ref="A2:J23" xr:uid="{00000000-0009-0000-0100-000025000000}"/>
  <sortState xmlns:xlrd2="http://schemas.microsoft.com/office/spreadsheetml/2017/richdata2" ref="A3:J19">
    <sortCondition ref="A3"/>
  </sortState>
  <tableColumns count="10">
    <tableColumn id="1" xr3:uid="{00000000-0010-0000-0900-000001000000}" name="Columna1" dataDxfId="105"/>
    <tableColumn id="14" xr3:uid="{00000000-0010-0000-0900-00000E000000}" name="Dia" dataDxfId="104"/>
    <tableColumn id="2" xr3:uid="{00000000-0010-0000-0900-000002000000}" name="FECHA" dataDxfId="103"/>
    <tableColumn id="3" xr3:uid="{00000000-0010-0000-0900-000003000000}" name="LLEGADA INSTALACION" dataDxfId="102"/>
    <tableColumn id="4" xr3:uid="{00000000-0010-0000-0900-000004000000}" name="SALIDA INSTALACION" dataDxfId="101"/>
    <tableColumn id="5" xr3:uid="{00000000-0010-0000-0900-000005000000}" name="INICIO ACT.     AM" dataDxfId="100"/>
    <tableColumn id="6" xr3:uid="{00000000-0010-0000-0900-000006000000}" name="TERMINO ACT. AM" dataDxfId="99"/>
    <tableColumn id="12" xr3:uid="{00000000-0010-0000-0900-00000C000000}" name="ALMUERZO"/>
    <tableColumn id="7" xr3:uid="{00000000-0010-0000-0900-000007000000}" name="INICIO ACTIVIDADES PM" dataDxfId="98"/>
    <tableColumn id="13" xr3:uid="{00000000-0010-0000-0900-00000D000000}" name="TERMINO ACTIVIDADES P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A000000}" name="Tabla1342" displayName="Tabla1342" ref="M2:V71" totalsRowShown="0">
  <autoFilter ref="M2:V71" xr:uid="{00000000-0009-0000-0100-000001000000}"/>
  <sortState xmlns:xlrd2="http://schemas.microsoft.com/office/spreadsheetml/2017/richdata2" ref="M3:S36">
    <sortCondition ref="M2"/>
  </sortState>
  <tableColumns count="10">
    <tableColumn id="2" xr3:uid="{00000000-0010-0000-0A00-000002000000}" name="Columna2" dataDxfId="97">
      <calculatedColumnFormula>Tabla5[[#This Row],[Columna1]]</calculatedColumnFormula>
    </tableColumn>
    <tableColumn id="9" xr3:uid="{00000000-0010-0000-0A00-000009000000}" name="Columna22" dataDxfId="96"/>
    <tableColumn id="8" xr3:uid="{00000000-0010-0000-0A00-000008000000}" name="Columna3" dataDxfId="95"/>
    <tableColumn id="3" xr3:uid="{00000000-0010-0000-0A00-000003000000}" name="Llegada a instalación" dataDxfId="94">
      <calculatedColumnFormula>D3</calculatedColumnFormula>
    </tableColumn>
    <tableColumn id="4" xr3:uid="{00000000-0010-0000-0A00-000004000000}" name="Tiempo en instalación " dataDxfId="93">
      <calculatedColumnFormula>E3-D3</calculatedColumnFormula>
    </tableColumn>
    <tableColumn id="5" xr3:uid="{00000000-0010-0000-0A00-000005000000}" name="Traslado a postura " dataDxfId="92">
      <calculatedColumnFormula>F3-E3</calculatedColumnFormula>
    </tableColumn>
    <tableColumn id="6" xr3:uid="{00000000-0010-0000-0A00-000006000000}" name="Tiempo disponible AM" dataDxfId="91">
      <calculatedColumnFormula>#REF!-F3</calculatedColumnFormula>
    </tableColumn>
    <tableColumn id="12" xr3:uid="{00000000-0010-0000-0A00-00000C000000}" name="Traslado Colación" dataDxfId="90">
      <calculatedColumnFormula>H3-G3</calculatedColumnFormula>
    </tableColumn>
    <tableColumn id="7" xr3:uid="{00000000-0010-0000-0A00-000007000000}" name="Almuerzo" dataDxfId="89">
      <calculatedColumnFormula>#REF!-#REF!</calculatedColumnFormula>
    </tableColumn>
    <tableColumn id="10" xr3:uid="{00000000-0010-0000-0A00-00000A000000}" name="Tiempo disponible PM" dataDxfId="88">
      <calculatedColumnFormula>#REF!-#REF!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a53" displayName="Tabla53" ref="A2:J23" totalsRowShown="0" headerRowDxfId="87" dataDxfId="86" tableBorderDxfId="85">
  <autoFilter ref="A2:J23" xr:uid="{00000000-0009-0000-0100-000002000000}"/>
  <sortState xmlns:xlrd2="http://schemas.microsoft.com/office/spreadsheetml/2017/richdata2" ref="A3:J19">
    <sortCondition ref="A3"/>
  </sortState>
  <tableColumns count="10">
    <tableColumn id="1" xr3:uid="{00000000-0010-0000-0B00-000001000000}" name="Columna1" dataDxfId="84"/>
    <tableColumn id="14" xr3:uid="{00000000-0010-0000-0B00-00000E000000}" name="Dia" dataDxfId="83"/>
    <tableColumn id="2" xr3:uid="{00000000-0010-0000-0B00-000002000000}" name="FECHA" dataDxfId="82"/>
    <tableColumn id="3" xr3:uid="{00000000-0010-0000-0B00-000003000000}" name="LLEGADA INSTALACION" dataDxfId="81"/>
    <tableColumn id="4" xr3:uid="{00000000-0010-0000-0B00-000004000000}" name="SALIDA INSTALACION" dataDxfId="80"/>
    <tableColumn id="5" xr3:uid="{00000000-0010-0000-0B00-000005000000}" name="INICIO ACT.     AM" dataDxfId="79"/>
    <tableColumn id="6" xr3:uid="{00000000-0010-0000-0B00-000006000000}" name="TERMINO ACT. AM" dataDxfId="78"/>
    <tableColumn id="12" xr3:uid="{00000000-0010-0000-0B00-00000C000000}" name="ALMUERZO"/>
    <tableColumn id="7" xr3:uid="{00000000-0010-0000-0B00-000007000000}" name="INICIO ACTIVIDADES PM" dataDxfId="77"/>
    <tableColumn id="13" xr3:uid="{00000000-0010-0000-0B00-00000D000000}" name="TERMINO ACTIVIDADES PM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0C000000}" name="Tabla53839" displayName="Tabla53839" ref="A2:J23" totalsRowShown="0" headerRowDxfId="76" dataDxfId="75" tableBorderDxfId="74">
  <autoFilter ref="A2:J23" xr:uid="{00000000-0009-0000-0100-000026000000}"/>
  <sortState xmlns:xlrd2="http://schemas.microsoft.com/office/spreadsheetml/2017/richdata2" ref="A3:J19">
    <sortCondition ref="A3"/>
  </sortState>
  <tableColumns count="10">
    <tableColumn id="1" xr3:uid="{00000000-0010-0000-0C00-000001000000}" name="Columna1" dataDxfId="73"/>
    <tableColumn id="14" xr3:uid="{00000000-0010-0000-0C00-00000E000000}" name="Dia" dataDxfId="72"/>
    <tableColumn id="2" xr3:uid="{00000000-0010-0000-0C00-000002000000}" name="FECHA" dataDxfId="71"/>
    <tableColumn id="3" xr3:uid="{00000000-0010-0000-0C00-000003000000}" name="LLEGADA INSTALACION" dataDxfId="70"/>
    <tableColumn id="4" xr3:uid="{00000000-0010-0000-0C00-000004000000}" name="SALIDA INSTALACION" dataDxfId="69"/>
    <tableColumn id="5" xr3:uid="{00000000-0010-0000-0C00-000005000000}" name="INICIO ACT.     AM" dataDxfId="68"/>
    <tableColumn id="6" xr3:uid="{00000000-0010-0000-0C00-000006000000}" name="TERMINO ACT. AM" dataDxfId="67"/>
    <tableColumn id="12" xr3:uid="{00000000-0010-0000-0C00-00000C000000}" name="ALMUERZO"/>
    <tableColumn id="7" xr3:uid="{00000000-0010-0000-0C00-000007000000}" name="INICIO ACTIVIDADES PM" dataDxfId="66"/>
    <tableColumn id="13" xr3:uid="{00000000-0010-0000-0C00-00000D000000}" name="TERMINO ACTIVIDADES PM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D000000}" name="Tabla5383940" displayName="Tabla5383940" ref="A2:J23" totalsRowShown="0" headerRowDxfId="65" dataDxfId="64" tableBorderDxfId="63">
  <autoFilter ref="A2:J23" xr:uid="{00000000-0009-0000-0100-000027000000}"/>
  <sortState xmlns:xlrd2="http://schemas.microsoft.com/office/spreadsheetml/2017/richdata2" ref="A3:J19">
    <sortCondition ref="A3"/>
  </sortState>
  <tableColumns count="10">
    <tableColumn id="1" xr3:uid="{00000000-0010-0000-0D00-000001000000}" name="Columna1" dataDxfId="62"/>
    <tableColumn id="14" xr3:uid="{00000000-0010-0000-0D00-00000E000000}" name="Dia" dataDxfId="61"/>
    <tableColumn id="2" xr3:uid="{00000000-0010-0000-0D00-000002000000}" name="FECHA" dataDxfId="60"/>
    <tableColumn id="3" xr3:uid="{00000000-0010-0000-0D00-000003000000}" name="LLEGADA INSTALACION" dataDxfId="59"/>
    <tableColumn id="4" xr3:uid="{00000000-0010-0000-0D00-000004000000}" name="SALIDA INSTALACION" dataDxfId="58"/>
    <tableColumn id="5" xr3:uid="{00000000-0010-0000-0D00-000005000000}" name="INICIO ACT.     AM" dataDxfId="57"/>
    <tableColumn id="6" xr3:uid="{00000000-0010-0000-0D00-000006000000}" name="TERMINO ACT. AM" dataDxfId="56"/>
    <tableColumn id="12" xr3:uid="{00000000-0010-0000-0D00-00000C000000}" name="ALMUERZO"/>
    <tableColumn id="7" xr3:uid="{00000000-0010-0000-0D00-000007000000}" name="INICIO ACTIVIDADES PM" dataDxfId="55"/>
    <tableColumn id="13" xr3:uid="{00000000-0010-0000-0D00-00000D000000}" name="TERMINO ACTIVIDADES PM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E000000}" name="Tabla538394041" displayName="Tabla538394041" ref="A2:J23" totalsRowShown="0" headerRowDxfId="54" dataDxfId="53" tableBorderDxfId="52">
  <autoFilter ref="A2:J23" xr:uid="{00000000-0009-0000-0100-000028000000}"/>
  <sortState xmlns:xlrd2="http://schemas.microsoft.com/office/spreadsheetml/2017/richdata2" ref="A3:J19">
    <sortCondition ref="A3"/>
  </sortState>
  <tableColumns count="10">
    <tableColumn id="1" xr3:uid="{00000000-0010-0000-0E00-000001000000}" name="Columna1" dataDxfId="51"/>
    <tableColumn id="14" xr3:uid="{00000000-0010-0000-0E00-00000E000000}" name="Dia" dataDxfId="50"/>
    <tableColumn id="2" xr3:uid="{00000000-0010-0000-0E00-000002000000}" name="FECHA" dataDxfId="49"/>
    <tableColumn id="3" xr3:uid="{00000000-0010-0000-0E00-000003000000}" name="LLEGADA INSTALACION" dataDxfId="48"/>
    <tableColumn id="4" xr3:uid="{00000000-0010-0000-0E00-000004000000}" name="SALIDA INSTALACION" dataDxfId="47"/>
    <tableColumn id="5" xr3:uid="{00000000-0010-0000-0E00-000005000000}" name="INICIO ACT.     AM" dataDxfId="46"/>
    <tableColumn id="6" xr3:uid="{00000000-0010-0000-0E00-000006000000}" name="TERMINO ACT. AM" dataDxfId="45"/>
    <tableColumn id="12" xr3:uid="{00000000-0010-0000-0E00-00000C000000}" name="ALMUERZO"/>
    <tableColumn id="7" xr3:uid="{00000000-0010-0000-0E00-000007000000}" name="INICIO ACTIVIDADES PM" dataDxfId="44"/>
    <tableColumn id="13" xr3:uid="{00000000-0010-0000-0E00-00000D000000}" name="TERMINO ACTIVIDADES PM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0F000000}" name="Tabla53839404142" displayName="Tabla53839404142" ref="A2:J23" totalsRowShown="0" headerRowDxfId="43" dataDxfId="42" tableBorderDxfId="41">
  <autoFilter ref="A2:J23" xr:uid="{00000000-0009-0000-0100-000029000000}"/>
  <sortState xmlns:xlrd2="http://schemas.microsoft.com/office/spreadsheetml/2017/richdata2" ref="A3:J19">
    <sortCondition ref="A3"/>
  </sortState>
  <tableColumns count="10">
    <tableColumn id="1" xr3:uid="{00000000-0010-0000-0F00-000001000000}" name="Columna1" dataDxfId="40"/>
    <tableColumn id="14" xr3:uid="{00000000-0010-0000-0F00-00000E000000}" name="Dia" dataDxfId="39"/>
    <tableColumn id="2" xr3:uid="{00000000-0010-0000-0F00-000002000000}" name="FECHA" dataDxfId="38"/>
    <tableColumn id="3" xr3:uid="{00000000-0010-0000-0F00-000003000000}" name="LLEGADA INSTALACION" dataDxfId="37"/>
    <tableColumn id="4" xr3:uid="{00000000-0010-0000-0F00-000004000000}" name="SALIDA INSTALACION" dataDxfId="36"/>
    <tableColumn id="5" xr3:uid="{00000000-0010-0000-0F00-000005000000}" name="INICIO ACT.     AM" dataDxfId="35"/>
    <tableColumn id="6" xr3:uid="{00000000-0010-0000-0F00-000006000000}" name="TERMINO ACT. AM" dataDxfId="34"/>
    <tableColumn id="12" xr3:uid="{00000000-0010-0000-0F00-00000C000000}" name="ALMUERZO"/>
    <tableColumn id="7" xr3:uid="{00000000-0010-0000-0F00-000007000000}" name="INICIO ACTIVIDADES PM" dataDxfId="33"/>
    <tableColumn id="13" xr3:uid="{00000000-0010-0000-0F00-00000D000000}" name="TERMINO ACTIVIDADES PM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10000000}" name="Tabla5383940414243" displayName="Tabla5383940414243" ref="A2:J23" totalsRowShown="0" headerRowDxfId="32" dataDxfId="31" tableBorderDxfId="30">
  <autoFilter ref="A2:J23" xr:uid="{00000000-0009-0000-0100-00002A000000}"/>
  <sortState xmlns:xlrd2="http://schemas.microsoft.com/office/spreadsheetml/2017/richdata2" ref="A3:J19">
    <sortCondition ref="A3"/>
  </sortState>
  <tableColumns count="10">
    <tableColumn id="1" xr3:uid="{00000000-0010-0000-1000-000001000000}" name="Columna1" dataDxfId="29"/>
    <tableColumn id="14" xr3:uid="{00000000-0010-0000-1000-00000E000000}" name="Dia" dataDxfId="28"/>
    <tableColumn id="2" xr3:uid="{00000000-0010-0000-1000-000002000000}" name="FECHA" dataDxfId="27"/>
    <tableColumn id="3" xr3:uid="{00000000-0010-0000-1000-000003000000}" name="LLEGADA INSTALACION" dataDxfId="26"/>
    <tableColumn id="4" xr3:uid="{00000000-0010-0000-1000-000004000000}" name="SALIDA INSTALACION" dataDxfId="25"/>
    <tableColumn id="5" xr3:uid="{00000000-0010-0000-1000-000005000000}" name="INICIO ACT.     AM" dataDxfId="24"/>
    <tableColumn id="6" xr3:uid="{00000000-0010-0000-1000-000006000000}" name="TERMINO ACT. AM" dataDxfId="23"/>
    <tableColumn id="12" xr3:uid="{00000000-0010-0000-1000-00000C000000}" name="ALMUERZO"/>
    <tableColumn id="7" xr3:uid="{00000000-0010-0000-1000-000007000000}" name="INICIO ACTIVIDADES PM" dataDxfId="22"/>
    <tableColumn id="13" xr3:uid="{00000000-0010-0000-1000-00000D000000}" name="TERMINO ACTIVIDADES PM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11000000}" name="Tabla538394041424344" displayName="Tabla538394041424344" ref="A2:J23" totalsRowShown="0" headerRowDxfId="21" dataDxfId="20" tableBorderDxfId="19">
  <autoFilter ref="A2:J23" xr:uid="{00000000-0009-0000-0100-00002B000000}"/>
  <sortState xmlns:xlrd2="http://schemas.microsoft.com/office/spreadsheetml/2017/richdata2" ref="A3:J19">
    <sortCondition ref="A3"/>
  </sortState>
  <tableColumns count="10">
    <tableColumn id="1" xr3:uid="{00000000-0010-0000-1100-000001000000}" name="Columna1" dataDxfId="18"/>
    <tableColumn id="14" xr3:uid="{00000000-0010-0000-1100-00000E000000}" name="Dia" dataDxfId="17"/>
    <tableColumn id="2" xr3:uid="{00000000-0010-0000-1100-000002000000}" name="FECHA" dataDxfId="16"/>
    <tableColumn id="3" xr3:uid="{00000000-0010-0000-1100-000003000000}" name="LLEGADA INSTALACION" dataDxfId="15"/>
    <tableColumn id="4" xr3:uid="{00000000-0010-0000-1100-000004000000}" name="SALIDA INSTALACION" dataDxfId="14"/>
    <tableColumn id="5" xr3:uid="{00000000-0010-0000-1100-000005000000}" name="INICIO ACT.     AM" dataDxfId="13"/>
    <tableColumn id="6" xr3:uid="{00000000-0010-0000-1100-000006000000}" name="TERMINO ACT. AM" dataDxfId="12"/>
    <tableColumn id="12" xr3:uid="{00000000-0010-0000-1100-00000C000000}" name="ALMUERZO"/>
    <tableColumn id="7" xr3:uid="{00000000-0010-0000-1100-000007000000}" name="INICIO ACTIVIDADES PM" dataDxfId="11"/>
    <tableColumn id="13" xr3:uid="{00000000-0010-0000-1100-00000D000000}" name="TERMINO ACTIVIDADES PM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12000000}" name="Tabla5383940414243444546" displayName="Tabla5383940414243444546" ref="A2:J23" totalsRowShown="0" headerRowDxfId="10" dataDxfId="9" tableBorderDxfId="8">
  <autoFilter ref="A2:J23" xr:uid="{00000000-0009-0000-0100-00002D000000}"/>
  <sortState xmlns:xlrd2="http://schemas.microsoft.com/office/spreadsheetml/2017/richdata2" ref="A3:J19">
    <sortCondition ref="A3"/>
  </sortState>
  <tableColumns count="10">
    <tableColumn id="1" xr3:uid="{00000000-0010-0000-1200-000001000000}" name="Columna1" dataDxfId="7"/>
    <tableColumn id="14" xr3:uid="{00000000-0010-0000-1200-00000E000000}" name="Dia" dataDxfId="6"/>
    <tableColumn id="2" xr3:uid="{00000000-0010-0000-1200-000002000000}" name="FECHA" dataDxfId="5"/>
    <tableColumn id="3" xr3:uid="{00000000-0010-0000-1200-000003000000}" name="LLEGADA INSTALACION" dataDxfId="4"/>
    <tableColumn id="4" xr3:uid="{00000000-0010-0000-1200-000004000000}" name="SALIDA INSTALACION" dataDxfId="3"/>
    <tableColumn id="5" xr3:uid="{00000000-0010-0000-1200-000005000000}" name="INICIO ACT.     AM" dataDxfId="2"/>
    <tableColumn id="6" xr3:uid="{00000000-0010-0000-1200-000006000000}" name="TERMINO ACT. AM" dataDxfId="1"/>
    <tableColumn id="12" xr3:uid="{00000000-0010-0000-1200-00000C000000}" name="ALMUERZO"/>
    <tableColumn id="7" xr3:uid="{00000000-0010-0000-1200-000007000000}" name="INICIO ACTIVIDADES PM" dataDxfId="0"/>
    <tableColumn id="13" xr3:uid="{00000000-0010-0000-1200-00000D000000}" name="TERMINO ACTIVIDADES P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a5" displayName="Tabla5" ref="A2:J23" totalsRowShown="0" headerRowDxfId="193" dataDxfId="192" tableBorderDxfId="191">
  <autoFilter ref="A2:J23" xr:uid="{00000000-0009-0000-0100-000005000000}"/>
  <sortState xmlns:xlrd2="http://schemas.microsoft.com/office/spreadsheetml/2017/richdata2" ref="A3:J19">
    <sortCondition ref="A3"/>
  </sortState>
  <tableColumns count="10">
    <tableColumn id="1" xr3:uid="{00000000-0010-0000-0100-000001000000}" name="Columna1" dataDxfId="190"/>
    <tableColumn id="14" xr3:uid="{00000000-0010-0000-0100-00000E000000}" name="Dia" dataDxfId="189"/>
    <tableColumn id="2" xr3:uid="{00000000-0010-0000-0100-000002000000}" name="FECHA" dataDxfId="188"/>
    <tableColumn id="3" xr3:uid="{00000000-0010-0000-0100-000003000000}" name="LLEGADA INSTALACION" dataDxfId="187"/>
    <tableColumn id="4" xr3:uid="{00000000-0010-0000-0100-000004000000}" name="SALIDA INSTALACION" dataDxfId="186"/>
    <tableColumn id="5" xr3:uid="{00000000-0010-0000-0100-000005000000}" name="INICIO ACT.     AM" dataDxfId="185"/>
    <tableColumn id="6" xr3:uid="{00000000-0010-0000-0100-000006000000}" name="TERMINO ACT. AM" dataDxfId="184"/>
    <tableColumn id="12" xr3:uid="{00000000-0010-0000-0100-00000C000000}" name="ALMUERZO"/>
    <tableColumn id="7" xr3:uid="{00000000-0010-0000-0100-000007000000}" name="INICIO ACTIVIDADES PM" dataDxfId="183"/>
    <tableColumn id="13" xr3:uid="{00000000-0010-0000-0100-00000D000000}" name="TERMINO ACTIVIDADES P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a13412" displayName="Tabla13412" ref="M2:V71" totalsRowShown="0">
  <sortState xmlns:xlrd2="http://schemas.microsoft.com/office/spreadsheetml/2017/richdata2" ref="M3:S36">
    <sortCondition ref="M2"/>
  </sortState>
  <tableColumns count="10">
    <tableColumn id="2" xr3:uid="{00000000-0010-0000-0200-000002000000}" name="Columna2" dataDxfId="182">
      <calculatedColumnFormula>Tabla5[[#This Row],[Columna1]]</calculatedColumnFormula>
    </tableColumn>
    <tableColumn id="9" xr3:uid="{00000000-0010-0000-0200-000009000000}" name="Columna22" dataDxfId="181"/>
    <tableColumn id="8" xr3:uid="{00000000-0010-0000-0200-000008000000}" name="Columna3" dataDxfId="180"/>
    <tableColumn id="3" xr3:uid="{00000000-0010-0000-0200-000003000000}" name="Llegada a instalación" dataDxfId="179">
      <calculatedColumnFormula>D3</calculatedColumnFormula>
    </tableColumn>
    <tableColumn id="4" xr3:uid="{00000000-0010-0000-0200-000004000000}" name="Tiempo en instalación " dataDxfId="178">
      <calculatedColumnFormula>E3-D3</calculatedColumnFormula>
    </tableColumn>
    <tableColumn id="5" xr3:uid="{00000000-0010-0000-0200-000005000000}" name="Traslado a postura " dataDxfId="177">
      <calculatedColumnFormula>F3-E3</calculatedColumnFormula>
    </tableColumn>
    <tableColumn id="6" xr3:uid="{00000000-0010-0000-0200-000006000000}" name="Tiempo disponible AM" dataDxfId="176">
      <calculatedColumnFormula>#REF!-F3</calculatedColumnFormula>
    </tableColumn>
    <tableColumn id="12" xr3:uid="{00000000-0010-0000-0200-00000C000000}" name="Traslado Colación" dataDxfId="175">
      <calculatedColumnFormula>H3-G3</calculatedColumnFormula>
    </tableColumn>
    <tableColumn id="7" xr3:uid="{00000000-0010-0000-0200-000007000000}" name="Almuerzo" dataDxfId="174">
      <calculatedColumnFormula>#REF!-#REF!</calculatedColumnFormula>
    </tableColumn>
    <tableColumn id="10" xr3:uid="{00000000-0010-0000-0200-00000A000000}" name="Tiempo disponible PM" dataDxfId="173">
      <calculatedColumnFormula>#REF!-#REF!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3000000}" name="Tabla513" displayName="Tabla513" ref="A2:J23" totalsRowShown="0" headerRowDxfId="172" dataDxfId="171" tableBorderDxfId="170">
  <autoFilter ref="A2:J23" xr:uid="{00000000-0009-0000-0100-00000C000000}"/>
  <sortState xmlns:xlrd2="http://schemas.microsoft.com/office/spreadsheetml/2017/richdata2" ref="A3:J19">
    <sortCondition ref="A3"/>
  </sortState>
  <tableColumns count="10">
    <tableColumn id="1" xr3:uid="{00000000-0010-0000-0300-000001000000}" name="Columna1" dataDxfId="169"/>
    <tableColumn id="14" xr3:uid="{00000000-0010-0000-0300-00000E000000}" name="Dia" dataDxfId="168"/>
    <tableColumn id="2" xr3:uid="{00000000-0010-0000-0300-000002000000}" name="FECHA" dataDxfId="167"/>
    <tableColumn id="3" xr3:uid="{00000000-0010-0000-0300-000003000000}" name="LLEGADA INSTALACION" dataDxfId="166"/>
    <tableColumn id="4" xr3:uid="{00000000-0010-0000-0300-000004000000}" name="SALIDA INSTALACION" dataDxfId="165"/>
    <tableColumn id="5" xr3:uid="{00000000-0010-0000-0300-000005000000}" name="INICIO ACT.     AM" dataDxfId="164"/>
    <tableColumn id="6" xr3:uid="{00000000-0010-0000-0300-000006000000}" name="TERMINO ACT. AM" dataDxfId="163"/>
    <tableColumn id="12" xr3:uid="{00000000-0010-0000-0300-00000C000000}" name="ALMUERZO"/>
    <tableColumn id="7" xr3:uid="{00000000-0010-0000-0300-000007000000}" name="INICIO ACTIVIDADES PM" dataDxfId="162"/>
    <tableColumn id="13" xr3:uid="{00000000-0010-0000-0300-00000D000000}" name="TERMINO ACTIVIDADES P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4000000}" name="Tabla1341233" displayName="Tabla1341233" ref="M2:V71" totalsRowShown="0">
  <autoFilter ref="M2:V71" xr:uid="{00000000-0009-0000-0100-000020000000}"/>
  <sortState xmlns:xlrd2="http://schemas.microsoft.com/office/spreadsheetml/2017/richdata2" ref="M3:S36">
    <sortCondition ref="M2"/>
  </sortState>
  <tableColumns count="10">
    <tableColumn id="2" xr3:uid="{00000000-0010-0000-0400-000002000000}" name="Columna2" dataDxfId="161">
      <calculatedColumnFormula>Tabla5[[#This Row],[Columna1]]</calculatedColumnFormula>
    </tableColumn>
    <tableColumn id="9" xr3:uid="{00000000-0010-0000-0400-000009000000}" name="Columna22" dataDxfId="160"/>
    <tableColumn id="8" xr3:uid="{00000000-0010-0000-0400-000008000000}" name="Columna3" dataDxfId="159"/>
    <tableColumn id="3" xr3:uid="{00000000-0010-0000-0400-000003000000}" name="Llegada a instalación" dataDxfId="158">
      <calculatedColumnFormula>D3</calculatedColumnFormula>
    </tableColumn>
    <tableColumn id="4" xr3:uid="{00000000-0010-0000-0400-000004000000}" name="Tiempo en instalación " dataDxfId="157">
      <calculatedColumnFormula>E3-D3</calculatedColumnFormula>
    </tableColumn>
    <tableColumn id="5" xr3:uid="{00000000-0010-0000-0400-000005000000}" name="Traslado a postura " dataDxfId="156">
      <calculatedColumnFormula>F3-E3</calculatedColumnFormula>
    </tableColumn>
    <tableColumn id="6" xr3:uid="{00000000-0010-0000-0400-000006000000}" name="Tiempo disponible AM" dataDxfId="155">
      <calculatedColumnFormula>#REF!-F3</calculatedColumnFormula>
    </tableColumn>
    <tableColumn id="12" xr3:uid="{00000000-0010-0000-0400-00000C000000}" name="Traslado Colación" dataDxfId="154">
      <calculatedColumnFormula>H3-G3</calculatedColumnFormula>
    </tableColumn>
    <tableColumn id="7" xr3:uid="{00000000-0010-0000-0400-000007000000}" name="Almuerzo" dataDxfId="153">
      <calculatedColumnFormula>#REF!-#REF!</calculatedColumnFormula>
    </tableColumn>
    <tableColumn id="10" xr3:uid="{00000000-0010-0000-0400-00000A000000}" name="Tiempo disponible PM" dataDxfId="152">
      <calculatedColumnFormula>#REF!-#REF!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5000000}" name="Tabla51334" displayName="Tabla51334" ref="A2:J23" totalsRowShown="0" headerRowDxfId="151" dataDxfId="150" tableBorderDxfId="149">
  <autoFilter ref="A2:J23" xr:uid="{00000000-0009-0000-0100-000021000000}"/>
  <sortState xmlns:xlrd2="http://schemas.microsoft.com/office/spreadsheetml/2017/richdata2" ref="A3:J19">
    <sortCondition ref="A3"/>
  </sortState>
  <tableColumns count="10">
    <tableColumn id="1" xr3:uid="{00000000-0010-0000-0500-000001000000}" name="Columna1" dataDxfId="148"/>
    <tableColumn id="14" xr3:uid="{00000000-0010-0000-0500-00000E000000}" name="Dia" dataDxfId="147"/>
    <tableColumn id="2" xr3:uid="{00000000-0010-0000-0500-000002000000}" name="FECHA" dataDxfId="146"/>
    <tableColumn id="3" xr3:uid="{00000000-0010-0000-0500-000003000000}" name="LLEGADA INSTALACION" dataDxfId="145"/>
    <tableColumn id="4" xr3:uid="{00000000-0010-0000-0500-000004000000}" name="SALIDA INSTALACION" dataDxfId="144"/>
    <tableColumn id="5" xr3:uid="{00000000-0010-0000-0500-000005000000}" name="INICIO ACT.     AM" dataDxfId="143"/>
    <tableColumn id="6" xr3:uid="{00000000-0010-0000-0500-000006000000}" name="TERMINO ACT. AM" dataDxfId="142"/>
    <tableColumn id="12" xr3:uid="{00000000-0010-0000-0500-00000C000000}" name="ALMUERZO"/>
    <tableColumn id="7" xr3:uid="{00000000-0010-0000-0500-000007000000}" name="INICIO ACTIVIDADES PM" dataDxfId="141"/>
    <tableColumn id="13" xr3:uid="{00000000-0010-0000-0500-00000D000000}" name="TERMINO ACTIVIDADES P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06000000}" name="Tabla13435" displayName="Tabla13435" ref="M2:V71" totalsRowShown="0">
  <autoFilter ref="M2:V71" xr:uid="{00000000-0009-0000-0100-000022000000}"/>
  <sortState xmlns:xlrd2="http://schemas.microsoft.com/office/spreadsheetml/2017/richdata2" ref="M3:S36">
    <sortCondition ref="M2"/>
  </sortState>
  <tableColumns count="10">
    <tableColumn id="2" xr3:uid="{00000000-0010-0000-0600-000002000000}" name="Columna2" dataDxfId="140">
      <calculatedColumnFormula>Tabla5[[#This Row],[Columna1]]</calculatedColumnFormula>
    </tableColumn>
    <tableColumn id="9" xr3:uid="{00000000-0010-0000-0600-000009000000}" name="Columna22" dataDxfId="139"/>
    <tableColumn id="8" xr3:uid="{00000000-0010-0000-0600-000008000000}" name="Columna3" dataDxfId="138"/>
    <tableColumn id="3" xr3:uid="{00000000-0010-0000-0600-000003000000}" name="Llegada a instalación" dataDxfId="137">
      <calculatedColumnFormula>D3</calculatedColumnFormula>
    </tableColumn>
    <tableColumn id="4" xr3:uid="{00000000-0010-0000-0600-000004000000}" name="Tiempo en instalación " dataDxfId="136">
      <calculatedColumnFormula>E3-D3</calculatedColumnFormula>
    </tableColumn>
    <tableColumn id="5" xr3:uid="{00000000-0010-0000-0600-000005000000}" name="Traslado a postura " dataDxfId="135">
      <calculatedColumnFormula>F3-E3</calculatedColumnFormula>
    </tableColumn>
    <tableColumn id="6" xr3:uid="{00000000-0010-0000-0600-000006000000}" name="Tiempo disponible AM" dataDxfId="134">
      <calculatedColumnFormula>#REF!-F3</calculatedColumnFormula>
    </tableColumn>
    <tableColumn id="12" xr3:uid="{00000000-0010-0000-0600-00000C000000}" name="Traslado Colación" dataDxfId="133">
      <calculatedColumnFormula>H3-G3</calculatedColumnFormula>
    </tableColumn>
    <tableColumn id="7" xr3:uid="{00000000-0010-0000-0600-000007000000}" name="Almuerzo" dataDxfId="132">
      <calculatedColumnFormula>#REF!-#REF!</calculatedColumnFormula>
    </tableColumn>
    <tableColumn id="10" xr3:uid="{00000000-0010-0000-0600-00000A000000}" name="Tiempo disponible PM" dataDxfId="131">
      <calculatedColumnFormula>#REF!-#REF!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7000000}" name="Tabla536" displayName="Tabla536" ref="A2:J23" totalsRowShown="0" headerRowDxfId="130" dataDxfId="129" tableBorderDxfId="128">
  <autoFilter ref="A2:J23" xr:uid="{00000000-0009-0000-0100-000023000000}"/>
  <sortState xmlns:xlrd2="http://schemas.microsoft.com/office/spreadsheetml/2017/richdata2" ref="A3:J19">
    <sortCondition ref="A3"/>
  </sortState>
  <tableColumns count="10">
    <tableColumn id="1" xr3:uid="{00000000-0010-0000-0700-000001000000}" name="Columna1" dataDxfId="127"/>
    <tableColumn id="14" xr3:uid="{00000000-0010-0000-0700-00000E000000}" name="Dia" dataDxfId="126"/>
    <tableColumn id="2" xr3:uid="{00000000-0010-0000-0700-000002000000}" name="FECHA" dataDxfId="125"/>
    <tableColumn id="3" xr3:uid="{00000000-0010-0000-0700-000003000000}" name="LLEGADA INSTALACION" dataDxfId="124"/>
    <tableColumn id="4" xr3:uid="{00000000-0010-0000-0700-000004000000}" name="SALIDA INSTALACION" dataDxfId="123"/>
    <tableColumn id="5" xr3:uid="{00000000-0010-0000-0700-000005000000}" name="INICIO ACT.     AM" dataDxfId="122"/>
    <tableColumn id="6" xr3:uid="{00000000-0010-0000-0700-000006000000}" name="TERMINO ACT. AM" dataDxfId="121"/>
    <tableColumn id="12" xr3:uid="{00000000-0010-0000-0700-00000C000000}" name="ALMUERZO"/>
    <tableColumn id="7" xr3:uid="{00000000-0010-0000-0700-000007000000}" name="INICIO ACTIVIDADES PM" dataDxfId="120"/>
    <tableColumn id="13" xr3:uid="{00000000-0010-0000-0700-00000D000000}" name="TERMINO ACTIVIDADES P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08000000}" name="Tabla537" displayName="Tabla537" ref="A2:J23" totalsRowShown="0" headerRowDxfId="119" dataDxfId="118" tableBorderDxfId="117">
  <autoFilter ref="A2:J23" xr:uid="{00000000-0009-0000-0100-000024000000}"/>
  <sortState xmlns:xlrd2="http://schemas.microsoft.com/office/spreadsheetml/2017/richdata2" ref="A3:J19">
    <sortCondition ref="A3"/>
  </sortState>
  <tableColumns count="10">
    <tableColumn id="1" xr3:uid="{00000000-0010-0000-0800-000001000000}" name="Columna1" dataDxfId="116"/>
    <tableColumn id="14" xr3:uid="{00000000-0010-0000-0800-00000E000000}" name="Dia" dataDxfId="115"/>
    <tableColumn id="2" xr3:uid="{00000000-0010-0000-0800-000002000000}" name="FECHA" dataDxfId="114"/>
    <tableColumn id="3" xr3:uid="{00000000-0010-0000-0800-000003000000}" name="LLEGADA INSTALACION" dataDxfId="113"/>
    <tableColumn id="4" xr3:uid="{00000000-0010-0000-0800-000004000000}" name="SALIDA INSTALACION" dataDxfId="112"/>
    <tableColumn id="5" xr3:uid="{00000000-0010-0000-0800-000005000000}" name="INICIO ACT.     AM" dataDxfId="111"/>
    <tableColumn id="6" xr3:uid="{00000000-0010-0000-0800-000006000000}" name="TERMINO ACT. AM" dataDxfId="110"/>
    <tableColumn id="12" xr3:uid="{00000000-0010-0000-0800-00000C000000}" name="ALMUERZO"/>
    <tableColumn id="7" xr3:uid="{00000000-0010-0000-0800-000007000000}" name="INICIO ACTIVIDADES PM" dataDxfId="109"/>
    <tableColumn id="13" xr3:uid="{00000000-0010-0000-0800-00000D000000}" name="TERMINO ACTIVIDADES P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showGridLines="0" tabSelected="1" zoomScale="60" zoomScaleNormal="60" workbookViewId="0">
      <selection activeCell="C18" sqref="C18"/>
    </sheetView>
  </sheetViews>
  <sheetFormatPr baseColWidth="10" defaultRowHeight="15.75" x14ac:dyDescent="0.25"/>
  <cols>
    <col min="1" max="1" width="11.25" customWidth="1"/>
    <col min="2" max="2" width="7.75" customWidth="1"/>
    <col min="3" max="3" width="13.625" customWidth="1"/>
    <col min="4" max="4" width="14.625" customWidth="1"/>
    <col min="5" max="5" width="14.375" customWidth="1"/>
    <col min="6" max="6" width="15.875" customWidth="1"/>
    <col min="7" max="7" width="18.875" customWidth="1"/>
    <col min="8" max="9" width="14.625" customWidth="1"/>
    <col min="10" max="10" width="15.5" customWidth="1"/>
    <col min="11" max="11" width="33.75" customWidth="1"/>
    <col min="12" max="12" width="15.375" customWidth="1"/>
    <col min="13" max="14" width="11.25" customWidth="1"/>
    <col min="15" max="15" width="17.125" bestFit="1" customWidth="1"/>
    <col min="16" max="16" width="15.25" bestFit="1" customWidth="1"/>
    <col min="17" max="17" width="16.375" customWidth="1"/>
    <col min="18" max="18" width="19.25" customWidth="1"/>
    <col min="19" max="20" width="16.125" customWidth="1"/>
    <col min="21" max="21" width="18.875" bestFit="1" customWidth="1"/>
    <col min="22" max="22" width="14.25" customWidth="1"/>
    <col min="23" max="29" width="13.62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31.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49</v>
      </c>
      <c r="B3" s="12" t="s">
        <v>37</v>
      </c>
      <c r="C3" s="4">
        <v>44824</v>
      </c>
      <c r="D3" s="37"/>
      <c r="E3" s="37"/>
      <c r="F3" s="37"/>
      <c r="G3" s="37"/>
      <c r="H3" s="37"/>
      <c r="I3" s="37"/>
      <c r="J3" s="46"/>
      <c r="K3" s="47"/>
      <c r="L3" s="48"/>
      <c r="M3" s="48"/>
      <c r="N3" s="49" t="s">
        <v>15</v>
      </c>
      <c r="O3" s="4">
        <f>Tabla5[[#This Row],[FECHA]]</f>
        <v>44824</v>
      </c>
      <c r="P3" s="7">
        <f>D3</f>
        <v>0</v>
      </c>
      <c r="Q3" s="7">
        <f>E3-D3</f>
        <v>0</v>
      </c>
      <c r="R3" s="7">
        <f>F3-E3</f>
        <v>0</v>
      </c>
      <c r="S3" s="7">
        <f>G3-F3</f>
        <v>0</v>
      </c>
      <c r="T3" s="7">
        <f>+Tabla5[[#This Row],[ALMUERZO]]-Tabla5[[#This Row],[TERMINO ACT. AM]]</f>
        <v>0</v>
      </c>
      <c r="U3" s="7">
        <f>+Tabla5[[#This Row],[INICIO ACTIVIDADES PM]]-Tabla5[[#This Row],[ALMUERZO]]</f>
        <v>0</v>
      </c>
      <c r="V3" s="7">
        <f>+Tabla5[[#This Row],[TERMINO ACTIVIDADES PM]]-Tabla5[[#This Row],[INICIO ACTIVIDADES PM]]</f>
        <v>0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49</v>
      </c>
      <c r="B4" s="12" t="s">
        <v>26</v>
      </c>
      <c r="C4" s="4">
        <v>44825</v>
      </c>
      <c r="D4" s="37">
        <v>0.33749999999999997</v>
      </c>
      <c r="E4" s="37">
        <v>0.36249999999999999</v>
      </c>
      <c r="F4" s="37">
        <v>0.37777777777777777</v>
      </c>
      <c r="G4" s="37">
        <v>0.59166666666666667</v>
      </c>
      <c r="H4" s="37">
        <v>0.59722222222222221</v>
      </c>
      <c r="I4" s="37">
        <v>0.62152777777777779</v>
      </c>
      <c r="J4" s="46">
        <v>0.65972222222222199</v>
      </c>
      <c r="K4" s="47"/>
      <c r="M4" s="5"/>
      <c r="N4" s="5" t="s">
        <v>16</v>
      </c>
      <c r="O4" s="4">
        <f>Tabla5[[#This Row],[FECHA]]</f>
        <v>44825</v>
      </c>
      <c r="P4" s="7">
        <f>D4</f>
        <v>0.33749999999999997</v>
      </c>
      <c r="Q4" s="7">
        <f t="shared" ref="Q4:Q7" si="0">E4-D4</f>
        <v>2.5000000000000022E-2</v>
      </c>
      <c r="R4" s="7">
        <f t="shared" ref="R4:R7" si="1">F4-E4</f>
        <v>1.5277777777777779E-2</v>
      </c>
      <c r="S4" s="7">
        <f t="shared" ref="S4:S7" si="2">G4-F4</f>
        <v>0.21388888888888891</v>
      </c>
      <c r="T4" s="7">
        <f>+Tabla5[[#This Row],[ALMUERZO]]-Tabla5[[#This Row],[TERMINO ACT. AM]]</f>
        <v>5.5555555555555358E-3</v>
      </c>
      <c r="U4" s="7">
        <f>+Tabla5[[#This Row],[INICIO ACTIVIDADES PM]]-Tabla5[[#This Row],[ALMUERZO]]</f>
        <v>2.430555555555558E-2</v>
      </c>
      <c r="V4" s="7">
        <f>+Tabla5[[#This Row],[TERMINO ACTIVIDADES PM]]-Tabla5[[#This Row],[INICIO ACTIVIDADES PM]]</f>
        <v>3.8194444444444198E-2</v>
      </c>
      <c r="W4" s="3">
        <f t="shared" ref="W4:W7" si="3">+$D$1</f>
        <v>0.33333333333333331</v>
      </c>
      <c r="X4" s="3">
        <f t="shared" ref="X4:X7" si="4">+$E$1</f>
        <v>0.35416666666666669</v>
      </c>
      <c r="Y4" s="3">
        <f t="shared" ref="Y4:Y7" si="5">+$F$1</f>
        <v>0.375</v>
      </c>
      <c r="Z4" s="3">
        <f t="shared" ref="Z4:Z7" si="6">+$G$1</f>
        <v>0.59375</v>
      </c>
      <c r="AA4" s="3">
        <f t="shared" ref="AA4:AA7" si="7">+$H$1</f>
        <v>0.61458333333333337</v>
      </c>
      <c r="AB4" s="3">
        <f t="shared" ref="AB4:AB7" si="8">+$I$1</f>
        <v>0.63541666666666663</v>
      </c>
      <c r="AC4" s="3">
        <f t="shared" ref="AC4:AC7" si="9">+$J$1</f>
        <v>0.66666666666666663</v>
      </c>
    </row>
    <row r="5" spans="1:29" x14ac:dyDescent="0.25">
      <c r="A5" s="12" t="s">
        <v>49</v>
      </c>
      <c r="B5" s="12" t="s">
        <v>27</v>
      </c>
      <c r="C5" s="4">
        <v>44826</v>
      </c>
      <c r="D5" s="37">
        <v>0.33958333333333335</v>
      </c>
      <c r="E5" s="37">
        <v>0.3611111111111111</v>
      </c>
      <c r="F5" s="37">
        <v>0.375</v>
      </c>
      <c r="G5" s="37">
        <v>0.61388888888888882</v>
      </c>
      <c r="H5" s="37">
        <v>0.61944444444444446</v>
      </c>
      <c r="I5" s="37">
        <v>0.64930555555555558</v>
      </c>
      <c r="J5" s="46">
        <v>0.65972222222222199</v>
      </c>
      <c r="K5" s="47"/>
      <c r="M5" s="5"/>
      <c r="N5" s="5" t="s">
        <v>16</v>
      </c>
      <c r="O5" s="4">
        <f>Tabla5[[#This Row],[FECHA]]</f>
        <v>44826</v>
      </c>
      <c r="P5" s="7">
        <f>D5</f>
        <v>0.33958333333333335</v>
      </c>
      <c r="Q5" s="7">
        <f t="shared" si="0"/>
        <v>2.1527777777777757E-2</v>
      </c>
      <c r="R5" s="7">
        <f t="shared" si="1"/>
        <v>1.3888888888888895E-2</v>
      </c>
      <c r="S5" s="7">
        <f t="shared" si="2"/>
        <v>0.23888888888888882</v>
      </c>
      <c r="T5" s="7">
        <f>+Tabla5[[#This Row],[ALMUERZO]]-Tabla5[[#This Row],[TERMINO ACT. AM]]</f>
        <v>5.5555555555556468E-3</v>
      </c>
      <c r="U5" s="7">
        <f>+Tabla5[[#This Row],[INICIO ACTIVIDADES PM]]-Tabla5[[#This Row],[ALMUERZO]]</f>
        <v>2.9861111111111116E-2</v>
      </c>
      <c r="V5" s="7">
        <f>+Tabla5[[#This Row],[TERMINO ACTIVIDADES PM]]-Tabla5[[#This Row],[INICIO ACTIVIDADES PM]]</f>
        <v>1.0416666666666408E-2</v>
      </c>
      <c r="W5" s="3">
        <f t="shared" si="3"/>
        <v>0.33333333333333331</v>
      </c>
      <c r="X5" s="3">
        <f t="shared" si="4"/>
        <v>0.35416666666666669</v>
      </c>
      <c r="Y5" s="3">
        <f t="shared" si="5"/>
        <v>0.375</v>
      </c>
      <c r="Z5" s="3">
        <f t="shared" si="6"/>
        <v>0.59375</v>
      </c>
      <c r="AA5" s="3">
        <f t="shared" si="7"/>
        <v>0.61458333333333337</v>
      </c>
      <c r="AB5" s="3">
        <f t="shared" si="8"/>
        <v>0.63541666666666663</v>
      </c>
      <c r="AC5" s="3">
        <f t="shared" si="9"/>
        <v>0.66666666666666663</v>
      </c>
    </row>
    <row r="6" spans="1:29" x14ac:dyDescent="0.25">
      <c r="A6" s="12" t="s">
        <v>49</v>
      </c>
      <c r="B6" s="12" t="s">
        <v>28</v>
      </c>
      <c r="C6" s="4">
        <v>44827</v>
      </c>
      <c r="D6" s="37">
        <v>0.33749999999999997</v>
      </c>
      <c r="E6" s="37">
        <v>0.36388888888888887</v>
      </c>
      <c r="F6" s="37">
        <v>0.38055555555555554</v>
      </c>
      <c r="G6" s="37">
        <v>0.61319444444444449</v>
      </c>
      <c r="H6" s="37">
        <v>0.61944444444444446</v>
      </c>
      <c r="I6" s="37">
        <v>0.64930555555555558</v>
      </c>
      <c r="J6" s="46">
        <v>0.65972222222222199</v>
      </c>
      <c r="K6" s="47"/>
      <c r="M6" s="5"/>
      <c r="N6" s="5" t="s">
        <v>17</v>
      </c>
      <c r="O6" s="4">
        <f>Tabla5[[#This Row],[FECHA]]</f>
        <v>44827</v>
      </c>
      <c r="P6" s="7">
        <f>D6</f>
        <v>0.33749999999999997</v>
      </c>
      <c r="Q6" s="7">
        <f t="shared" si="0"/>
        <v>2.6388888888888906E-2</v>
      </c>
      <c r="R6" s="7">
        <f t="shared" si="1"/>
        <v>1.6666666666666663E-2</v>
      </c>
      <c r="S6" s="7">
        <f t="shared" si="2"/>
        <v>0.23263888888888895</v>
      </c>
      <c r="T6" s="7">
        <f>+Tabla5[[#This Row],[ALMUERZO]]-Tabla5[[#This Row],[TERMINO ACT. AM]]</f>
        <v>6.2499999999999778E-3</v>
      </c>
      <c r="U6" s="7">
        <f>+Tabla5[[#This Row],[INICIO ACTIVIDADES PM]]-Tabla5[[#This Row],[ALMUERZO]]</f>
        <v>2.9861111111111116E-2</v>
      </c>
      <c r="V6" s="7">
        <f>+Tabla5[[#This Row],[TERMINO ACTIVIDADES PM]]-Tabla5[[#This Row],[INICIO ACTIVIDADES PM]]</f>
        <v>1.0416666666666408E-2</v>
      </c>
      <c r="W6" s="3">
        <f t="shared" si="3"/>
        <v>0.33333333333333331</v>
      </c>
      <c r="X6" s="3">
        <f t="shared" si="4"/>
        <v>0.35416666666666669</v>
      </c>
      <c r="Y6" s="3">
        <f t="shared" si="5"/>
        <v>0.375</v>
      </c>
      <c r="Z6" s="3">
        <f t="shared" si="6"/>
        <v>0.59375</v>
      </c>
      <c r="AA6" s="3">
        <f t="shared" si="7"/>
        <v>0.61458333333333337</v>
      </c>
      <c r="AB6" s="3">
        <f t="shared" si="8"/>
        <v>0.63541666666666663</v>
      </c>
      <c r="AC6" s="3">
        <f t="shared" si="9"/>
        <v>0.66666666666666663</v>
      </c>
    </row>
    <row r="7" spans="1:29" x14ac:dyDescent="0.25">
      <c r="A7" s="12" t="s">
        <v>49</v>
      </c>
      <c r="B7" s="12" t="s">
        <v>38</v>
      </c>
      <c r="C7" s="4">
        <v>44828</v>
      </c>
      <c r="D7" s="37">
        <v>0.33611111111111108</v>
      </c>
      <c r="E7" s="37">
        <v>0.3611111111111111</v>
      </c>
      <c r="F7" s="37">
        <v>0.38055555555555554</v>
      </c>
      <c r="G7" s="37">
        <v>0.61111111111111105</v>
      </c>
      <c r="H7" s="37">
        <v>0.62291666666666667</v>
      </c>
      <c r="I7" s="37">
        <v>0.64583333333333337</v>
      </c>
      <c r="J7" s="46">
        <v>0.65972222222222221</v>
      </c>
      <c r="K7" s="47"/>
      <c r="M7" s="5"/>
      <c r="N7" s="5" t="s">
        <v>18</v>
      </c>
      <c r="O7" s="4">
        <f>Tabla5[[#This Row],[FECHA]]</f>
        <v>44828</v>
      </c>
      <c r="P7" s="7">
        <f>D7</f>
        <v>0.33611111111111108</v>
      </c>
      <c r="Q7" s="7">
        <f t="shared" si="0"/>
        <v>2.5000000000000022E-2</v>
      </c>
      <c r="R7" s="7">
        <f t="shared" si="1"/>
        <v>1.9444444444444431E-2</v>
      </c>
      <c r="S7" s="7">
        <f t="shared" si="2"/>
        <v>0.23055555555555551</v>
      </c>
      <c r="T7" s="7">
        <f>+Tabla5[[#This Row],[ALMUERZO]]-Tabla5[[#This Row],[TERMINO ACT. AM]]</f>
        <v>1.1805555555555625E-2</v>
      </c>
      <c r="U7" s="7">
        <f>+Tabla5[[#This Row],[INICIO ACTIVIDADES PM]]-Tabla5[[#This Row],[ALMUERZO]]</f>
        <v>2.2916666666666696E-2</v>
      </c>
      <c r="V7" s="7">
        <f>+Tabla5[[#This Row],[TERMINO ACTIVIDADES PM]]-Tabla5[[#This Row],[INICIO ACTIVIDADES PM]]</f>
        <v>1.388888888888884E-2</v>
      </c>
      <c r="W7" s="3">
        <f t="shared" si="3"/>
        <v>0.33333333333333331</v>
      </c>
      <c r="X7" s="3">
        <f t="shared" si="4"/>
        <v>0.35416666666666669</v>
      </c>
      <c r="Y7" s="3">
        <f t="shared" si="5"/>
        <v>0.375</v>
      </c>
      <c r="Z7" s="3">
        <f t="shared" si="6"/>
        <v>0.59375</v>
      </c>
      <c r="AA7" s="3">
        <f t="shared" si="7"/>
        <v>0.61458333333333337</v>
      </c>
      <c r="AB7" s="3">
        <f t="shared" si="8"/>
        <v>0.63541666666666663</v>
      </c>
      <c r="AC7" s="3">
        <f t="shared" si="9"/>
        <v>0.66666666666666663</v>
      </c>
    </row>
    <row r="8" spans="1:29" x14ac:dyDescent="0.25">
      <c r="A8" s="11"/>
      <c r="B8" s="11"/>
      <c r="C8" s="4">
        <v>44829</v>
      </c>
      <c r="D8" s="39"/>
      <c r="E8" s="45"/>
      <c r="F8" s="45"/>
      <c r="G8" s="45"/>
      <c r="H8" s="45"/>
      <c r="I8" s="45"/>
      <c r="J8" s="45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4">
        <v>44830</v>
      </c>
      <c r="D9" s="11"/>
      <c r="E9" s="11"/>
      <c r="F9" s="11"/>
      <c r="G9" s="11"/>
      <c r="H9" s="11"/>
      <c r="I9" s="45"/>
      <c r="J9" s="45"/>
      <c r="K9" s="38"/>
      <c r="M9" s="5">
        <f>Tabla5[[#This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37"/>
      <c r="J10" s="37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37"/>
      <c r="J11" s="37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37"/>
      <c r="J12" s="37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34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3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3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</v>
      </c>
      <c r="H16" s="23"/>
      <c r="I16" s="28"/>
      <c r="J16" s="28"/>
      <c r="K16" s="33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0.2520833333333331</v>
      </c>
      <c r="H17" s="23"/>
      <c r="I17" s="28"/>
      <c r="J17" s="28"/>
      <c r="K17" s="33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0.24930555555555522</v>
      </c>
      <c r="H18" s="23"/>
      <c r="I18" s="28"/>
      <c r="J18" s="28"/>
      <c r="K18" s="33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0.24305555555555536</v>
      </c>
      <c r="H19" s="23"/>
      <c r="I19" s="28"/>
      <c r="J19" s="28"/>
      <c r="K19" s="33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0.24444444444444435</v>
      </c>
      <c r="H20" s="23"/>
      <c r="I20" s="28"/>
      <c r="J20" s="28"/>
      <c r="K20" s="33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0.24722222222222201</v>
      </c>
      <c r="H21" s="30"/>
      <c r="I21" s="28"/>
      <c r="J21" s="28"/>
      <c r="K21" s="33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0.98888888888888804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x14ac:dyDescent="0.25">
      <c r="T28" s="3"/>
    </row>
    <row r="29" spans="1:20" ht="15.6" customHeight="1" x14ac:dyDescent="0.25">
      <c r="H29" s="178" t="s">
        <v>105</v>
      </c>
      <c r="I29" s="179" t="s">
        <v>103</v>
      </c>
      <c r="T29" s="3"/>
    </row>
    <row r="30" spans="1:20" ht="15.6" customHeight="1" x14ac:dyDescent="0.25">
      <c r="H30" s="178"/>
      <c r="I30" s="180"/>
      <c r="T30" s="3"/>
    </row>
    <row r="31" spans="1:20" ht="15.6" customHeight="1" x14ac:dyDescent="0.25">
      <c r="H31" s="178"/>
      <c r="I31" s="180"/>
      <c r="T31" s="3"/>
    </row>
    <row r="32" spans="1:20" ht="15.6" customHeight="1" x14ac:dyDescent="0.25">
      <c r="H32" s="178"/>
      <c r="I32" s="181"/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57"/>
  <sheetViews>
    <sheetView zoomScale="60" zoomScaleNormal="60" workbookViewId="0">
      <selection activeCell="F9" sqref="F9"/>
    </sheetView>
  </sheetViews>
  <sheetFormatPr baseColWidth="10" defaultRowHeight="15.75" x14ac:dyDescent="0.25"/>
  <cols>
    <col min="6" max="6" width="17.75" customWidth="1"/>
    <col min="7" max="7" width="16.25" customWidth="1"/>
    <col min="11" max="11" width="18.3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ht="24.75" x14ac:dyDescent="0.25">
      <c r="A3" s="12" t="s">
        <v>99</v>
      </c>
      <c r="B3" s="12" t="s">
        <v>37</v>
      </c>
      <c r="C3" s="4">
        <f>+Tabla5[[#This Row],[FECHA]]</f>
        <v>44824</v>
      </c>
      <c r="D3" s="37"/>
      <c r="E3" s="37"/>
      <c r="F3" s="37"/>
      <c r="G3" s="37"/>
      <c r="H3" s="37"/>
      <c r="I3" s="37"/>
      <c r="J3" s="46"/>
      <c r="K3" s="47" t="s">
        <v>91</v>
      </c>
      <c r="L3" s="53"/>
      <c r="M3" s="53"/>
      <c r="N3" s="57" t="s">
        <v>15</v>
      </c>
      <c r="O3" s="4">
        <v>44410</v>
      </c>
      <c r="P3" s="7">
        <f>D3</f>
        <v>0</v>
      </c>
      <c r="Q3" s="7">
        <f t="shared" ref="Q3:S7" si="0">E3-D3</f>
        <v>0</v>
      </c>
      <c r="R3" s="7">
        <f t="shared" si="0"/>
        <v>0</v>
      </c>
      <c r="S3" s="7">
        <f t="shared" si="0"/>
        <v>0</v>
      </c>
      <c r="T3" s="7">
        <f>+Tabla538394041[[#This Row],[ALMUERZO]]-Tabla538394041[[#This Row],[TERMINO ACT. AM]]</f>
        <v>0</v>
      </c>
      <c r="U3" s="7">
        <f>+Tabla538394041[[#This Row],[INICIO ACTIVIDADES PM]]-Tabla538394041[[#This Row],[ALMUERZO]]</f>
        <v>0</v>
      </c>
      <c r="V3" s="7">
        <f>+Tabla538394041[[#This Row],[TERMINO ACTIVIDADES PM]]-Tabla538394041[[#This Row],[INICIO ACTIVIDADES PM]]</f>
        <v>0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ht="24.75" x14ac:dyDescent="0.25">
      <c r="A4" s="12" t="s">
        <v>99</v>
      </c>
      <c r="B4" s="12" t="s">
        <v>26</v>
      </c>
      <c r="C4" s="4">
        <f>+Tabla5[[#This Row],[FECHA]]</f>
        <v>44825</v>
      </c>
      <c r="D4" s="37">
        <v>0.64583333333333337</v>
      </c>
      <c r="E4" s="37">
        <v>0.66666666666666663</v>
      </c>
      <c r="F4" s="37">
        <v>0.67986111111111114</v>
      </c>
      <c r="G4" s="37">
        <v>0.8125</v>
      </c>
      <c r="H4" s="37">
        <v>0.81944444444444453</v>
      </c>
      <c r="I4" s="37">
        <v>0.84861111111111109</v>
      </c>
      <c r="J4" s="46">
        <v>0.98958333333333337</v>
      </c>
      <c r="K4" s="47" t="s">
        <v>91</v>
      </c>
      <c r="M4" s="5"/>
      <c r="N4" s="5" t="s">
        <v>16</v>
      </c>
      <c r="O4" s="4">
        <v>44411</v>
      </c>
      <c r="P4" s="7">
        <f>D4</f>
        <v>0.64583333333333337</v>
      </c>
      <c r="Q4" s="7">
        <f t="shared" si="0"/>
        <v>2.0833333333333259E-2</v>
      </c>
      <c r="R4" s="7">
        <f t="shared" si="0"/>
        <v>1.3194444444444509E-2</v>
      </c>
      <c r="S4" s="7">
        <f t="shared" si="0"/>
        <v>0.13263888888888886</v>
      </c>
      <c r="T4" s="7">
        <f>+Tabla538394041[[#This Row],[ALMUERZO]]-Tabla538394041[[#This Row],[TERMINO ACT. AM]]</f>
        <v>6.9444444444445308E-3</v>
      </c>
      <c r="U4" s="7">
        <f>+Tabla538394041[[#This Row],[INICIO ACTIVIDADES PM]]-Tabla538394041[[#This Row],[ALMUERZO]]</f>
        <v>2.9166666666666563E-2</v>
      </c>
      <c r="V4" s="7">
        <f>+Tabla538394041[[#This Row],[TERMINO ACTIVIDADES PM]]-Tabla538394041[[#This Row],[INICIO ACTIVIDADES PM]]</f>
        <v>0.14097222222222228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ht="24.75" x14ac:dyDescent="0.25">
      <c r="A5" s="12" t="s">
        <v>99</v>
      </c>
      <c r="B5" s="12" t="s">
        <v>27</v>
      </c>
      <c r="C5" s="4">
        <f>+Tabla5[[#This Row],[FECHA]]</f>
        <v>44826</v>
      </c>
      <c r="D5" s="37">
        <v>0.64583333333333337</v>
      </c>
      <c r="E5" s="37">
        <v>0.66666666666666663</v>
      </c>
      <c r="F5" s="37">
        <v>0.72361111111111109</v>
      </c>
      <c r="G5" s="37">
        <v>0.85416666666666663</v>
      </c>
      <c r="H5" s="37">
        <v>0.85763888888888884</v>
      </c>
      <c r="I5" s="37">
        <v>0.88194444444444453</v>
      </c>
      <c r="J5" s="46">
        <v>0.98125000000000007</v>
      </c>
      <c r="K5" s="47" t="s">
        <v>91</v>
      </c>
      <c r="M5" s="5"/>
      <c r="N5" s="5" t="s">
        <v>16</v>
      </c>
      <c r="O5" s="4">
        <v>44412</v>
      </c>
      <c r="P5" s="7">
        <f>D5</f>
        <v>0.64583333333333337</v>
      </c>
      <c r="Q5" s="7">
        <f t="shared" si="0"/>
        <v>2.0833333333333259E-2</v>
      </c>
      <c r="R5" s="7">
        <f t="shared" si="0"/>
        <v>5.6944444444444464E-2</v>
      </c>
      <c r="S5" s="7">
        <f t="shared" si="0"/>
        <v>0.13055555555555554</v>
      </c>
      <c r="T5" s="7">
        <f>+Tabla538394041[[#This Row],[ALMUERZO]]-Tabla538394041[[#This Row],[TERMINO ACT. AM]]</f>
        <v>3.4722222222222099E-3</v>
      </c>
      <c r="U5" s="7">
        <f>+Tabla538394041[[#This Row],[INICIO ACTIVIDADES PM]]-Tabla538394041[[#This Row],[ALMUERZO]]</f>
        <v>2.4305555555555691E-2</v>
      </c>
      <c r="V5" s="7">
        <f>+Tabla538394041[[#This Row],[TERMINO ACTIVIDADES PM]]-Tabla538394041[[#This Row],[INICIO ACTIVIDADES PM]]</f>
        <v>9.9305555555555536E-2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ht="24.75" x14ac:dyDescent="0.25">
      <c r="A6" s="12" t="s">
        <v>99</v>
      </c>
      <c r="B6" s="12" t="s">
        <v>28</v>
      </c>
      <c r="C6" s="4">
        <f>+Tabla5[[#This Row],[FECHA]]</f>
        <v>44827</v>
      </c>
      <c r="D6" s="37">
        <v>0.64583333333333337</v>
      </c>
      <c r="E6" s="37">
        <v>0.66666666666666663</v>
      </c>
      <c r="F6" s="37">
        <v>0.69236111111111109</v>
      </c>
      <c r="G6" s="37">
        <v>0.83333333333333337</v>
      </c>
      <c r="H6" s="37">
        <v>0.83680555555555547</v>
      </c>
      <c r="I6" s="37">
        <v>0.86458333333333337</v>
      </c>
      <c r="J6" s="46">
        <v>0.98611111111111116</v>
      </c>
      <c r="K6" s="47" t="s">
        <v>91</v>
      </c>
      <c r="M6" s="5"/>
      <c r="N6" s="5" t="s">
        <v>17</v>
      </c>
      <c r="O6" s="4">
        <v>44413</v>
      </c>
      <c r="P6" s="7">
        <f>D6</f>
        <v>0.64583333333333337</v>
      </c>
      <c r="Q6" s="7">
        <f t="shared" si="0"/>
        <v>2.0833333333333259E-2</v>
      </c>
      <c r="R6" s="7">
        <f t="shared" si="0"/>
        <v>2.5694444444444464E-2</v>
      </c>
      <c r="S6" s="7">
        <f t="shared" si="0"/>
        <v>0.14097222222222228</v>
      </c>
      <c r="T6" s="7">
        <f>+Tabla538394041[[#This Row],[ALMUERZO]]-Tabla538394041[[#This Row],[TERMINO ACT. AM]]</f>
        <v>3.4722222222220989E-3</v>
      </c>
      <c r="U6" s="7">
        <f>+Tabla538394041[[#This Row],[INICIO ACTIVIDADES PM]]-Tabla538394041[[#This Row],[ALMUERZO]]</f>
        <v>2.7777777777777901E-2</v>
      </c>
      <c r="V6" s="7">
        <f>+Tabla538394041[[#This Row],[TERMINO ACTIVIDADES PM]]-Tabla538394041[[#This Row],[INICIO ACTIVIDADES PM]]</f>
        <v>0.12152777777777779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ht="24.75" x14ac:dyDescent="0.25">
      <c r="A7" s="12" t="s">
        <v>99</v>
      </c>
      <c r="B7" s="12" t="s">
        <v>38</v>
      </c>
      <c r="C7" s="4">
        <f>+Tabla5[[#This Row],[FECHA]]</f>
        <v>44828</v>
      </c>
      <c r="D7" s="37">
        <v>0.64583333333333337</v>
      </c>
      <c r="E7" s="37">
        <v>0.66666666666666663</v>
      </c>
      <c r="F7" s="37">
        <v>0.68958333333333333</v>
      </c>
      <c r="G7" s="37">
        <v>0.84027777777777779</v>
      </c>
      <c r="H7" s="37">
        <v>0.84722222222222221</v>
      </c>
      <c r="I7" s="37">
        <v>0.8833333333333333</v>
      </c>
      <c r="J7" s="46">
        <v>0.98472222222222217</v>
      </c>
      <c r="K7" s="47" t="s">
        <v>91</v>
      </c>
      <c r="M7" s="5"/>
      <c r="N7" s="5" t="s">
        <v>18</v>
      </c>
      <c r="O7" s="4">
        <v>44414</v>
      </c>
      <c r="P7" s="7">
        <f>D7</f>
        <v>0.64583333333333337</v>
      </c>
      <c r="Q7" s="7">
        <f t="shared" si="0"/>
        <v>2.0833333333333259E-2</v>
      </c>
      <c r="R7" s="7">
        <f t="shared" si="0"/>
        <v>2.2916666666666696E-2</v>
      </c>
      <c r="S7" s="7">
        <f t="shared" si="0"/>
        <v>0.15069444444444446</v>
      </c>
      <c r="T7" s="7">
        <f>+Tabla538394041[[#This Row],[ALMUERZO]]-Tabla538394041[[#This Row],[TERMINO ACT. AM]]</f>
        <v>6.9444444444444198E-3</v>
      </c>
      <c r="U7" s="7">
        <f>+Tabla538394041[[#This Row],[INICIO ACTIVIDADES PM]]-Tabla538394041[[#This Row],[ALMUERZO]]</f>
        <v>3.6111111111111094E-2</v>
      </c>
      <c r="V7" s="7">
        <f>+Tabla538394041[[#This Row],[TERMINO ACTIVIDADES PM]]-Tabla538394041[[#This Row],[INICIO ACTIVIDADES PM]]</f>
        <v>0.10138888888888886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4"/>
      <c r="E8" s="4"/>
      <c r="F8" s="4"/>
      <c r="G8" s="4"/>
      <c r="H8" s="4"/>
      <c r="I8" s="4"/>
      <c r="J8" s="4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38"/>
      <c r="M9" s="5">
        <f>Tabla538394041[[#This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84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0.27361111111111114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0.22986111111111107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0.26250000000000007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0.25208333333333333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 0")</f>
        <v>0.25451388888888893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1.0180555555555557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ht="15.6" customHeight="1" x14ac:dyDescent="0.25">
      <c r="I28" s="178" t="s">
        <v>105</v>
      </c>
      <c r="J28" s="179" t="s">
        <v>103</v>
      </c>
      <c r="T28" s="3"/>
    </row>
    <row r="29" spans="1:20" ht="15.6" customHeight="1" x14ac:dyDescent="0.25">
      <c r="I29" s="178"/>
      <c r="J29" s="180"/>
      <c r="T29" s="3"/>
    </row>
    <row r="30" spans="1:20" ht="15.6" customHeight="1" x14ac:dyDescent="0.25">
      <c r="I30" s="178"/>
      <c r="J30" s="180"/>
      <c r="T30" s="3"/>
    </row>
    <row r="31" spans="1:20" ht="15.6" customHeight="1" x14ac:dyDescent="0.25">
      <c r="I31" s="178"/>
      <c r="J31" s="181"/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8:I31"/>
    <mergeCell ref="J28:J31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57"/>
  <sheetViews>
    <sheetView zoomScale="60" zoomScaleNormal="60" workbookViewId="0">
      <selection activeCell="F9" sqref="F9"/>
    </sheetView>
  </sheetViews>
  <sheetFormatPr baseColWidth="10" defaultRowHeight="15.75" x14ac:dyDescent="0.25"/>
  <cols>
    <col min="6" max="6" width="16.375" customWidth="1"/>
    <col min="7" max="7" width="13" customWidth="1"/>
    <col min="20" max="20" width="12.62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99</v>
      </c>
      <c r="B3" s="12" t="s">
        <v>37</v>
      </c>
      <c r="C3" s="4">
        <f>+Tabla5[[#This Row],[FECHA]]</f>
        <v>44824</v>
      </c>
      <c r="D3" s="37"/>
      <c r="E3" s="37"/>
      <c r="F3" s="37"/>
      <c r="G3" s="56"/>
      <c r="H3" s="37"/>
      <c r="I3" s="37"/>
      <c r="J3" s="46"/>
      <c r="K3" s="47"/>
      <c r="L3" s="53"/>
      <c r="M3" s="53"/>
      <c r="N3" s="57" t="s">
        <v>15</v>
      </c>
      <c r="O3" s="4">
        <f>Tabla53839404142[[#This Row],[FECHA]]</f>
        <v>44824</v>
      </c>
      <c r="P3" s="7">
        <f>D3</f>
        <v>0</v>
      </c>
      <c r="Q3" s="7">
        <f t="shared" ref="Q3:S7" si="0">E3-D3</f>
        <v>0</v>
      </c>
      <c r="R3" s="7">
        <f t="shared" si="0"/>
        <v>0</v>
      </c>
      <c r="S3" s="7">
        <f t="shared" si="0"/>
        <v>0</v>
      </c>
      <c r="T3" s="7">
        <f>+Tabla53839404142[[#This Row],[ALMUERZO]]-Tabla53839404142[[#This Row],[TERMINO ACT. AM]]</f>
        <v>0</v>
      </c>
      <c r="U3" s="7">
        <f>+Tabla53839404142[[#This Row],[INICIO ACTIVIDADES PM]]-Tabla53839404142[[#This Row],[ALMUERZO]]</f>
        <v>0</v>
      </c>
      <c r="V3" s="7">
        <f>+Tabla53839404142[[#This Row],[TERMINO ACTIVIDADES PM]]-Tabla53839404142[[#This Row],[INICIO ACTIVIDADES PM]]</f>
        <v>0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99</v>
      </c>
      <c r="B4" s="12" t="s">
        <v>26</v>
      </c>
      <c r="C4" s="4">
        <f>+Tabla5[[#This Row],[FECHA]]</f>
        <v>44825</v>
      </c>
      <c r="D4" s="37">
        <v>0.3125</v>
      </c>
      <c r="E4" s="37">
        <v>0.33333333333333331</v>
      </c>
      <c r="F4" s="37">
        <v>0.35069444444444442</v>
      </c>
      <c r="G4" s="56">
        <v>0.53472222222222221</v>
      </c>
      <c r="H4" s="37">
        <v>0.54166666666666663</v>
      </c>
      <c r="I4" s="37">
        <v>0.56944444444444442</v>
      </c>
      <c r="J4" s="46">
        <v>0.65277777777777779</v>
      </c>
      <c r="K4" s="47"/>
      <c r="M4" s="5"/>
      <c r="N4" s="5" t="s">
        <v>16</v>
      </c>
      <c r="O4" s="4">
        <f>Tabla53839404142[[#This Row],[FECHA]]</f>
        <v>44825</v>
      </c>
      <c r="P4" s="7">
        <f>D4</f>
        <v>0.3125</v>
      </c>
      <c r="Q4" s="7">
        <f t="shared" si="0"/>
        <v>2.0833333333333315E-2</v>
      </c>
      <c r="R4" s="7">
        <f t="shared" si="0"/>
        <v>1.7361111111111105E-2</v>
      </c>
      <c r="S4" s="7">
        <f t="shared" si="0"/>
        <v>0.18402777777777779</v>
      </c>
      <c r="T4" s="7">
        <f>+Tabla53839404142[[#This Row],[ALMUERZO]]-Tabla53839404142[[#This Row],[TERMINO ACT. AM]]</f>
        <v>6.9444444444444198E-3</v>
      </c>
      <c r="U4" s="7">
        <f>+Tabla53839404142[[#This Row],[INICIO ACTIVIDADES PM]]-Tabla53839404142[[#This Row],[ALMUERZO]]</f>
        <v>2.777777777777779E-2</v>
      </c>
      <c r="V4" s="7">
        <f>+Tabla53839404142[[#This Row],[TERMINO ACTIVIDADES PM]]-Tabla53839404142[[#This Row],[INICIO ACTIVIDADES PM]]</f>
        <v>8.333333333333337E-2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99</v>
      </c>
      <c r="B5" s="12" t="s">
        <v>27</v>
      </c>
      <c r="C5" s="4">
        <f>+Tabla5[[#This Row],[FECHA]]</f>
        <v>44826</v>
      </c>
      <c r="D5" s="37">
        <v>0.3125</v>
      </c>
      <c r="E5" s="37">
        <v>0.33680555555555558</v>
      </c>
      <c r="F5" s="37">
        <v>0.35416666666666669</v>
      </c>
      <c r="G5" s="56">
        <v>0.51041666666666663</v>
      </c>
      <c r="H5" s="37">
        <v>0.52083333333333337</v>
      </c>
      <c r="I5" s="37">
        <v>0.55208333333333337</v>
      </c>
      <c r="J5" s="46">
        <v>0.65277777777777801</v>
      </c>
      <c r="K5" s="47"/>
      <c r="M5" s="5"/>
      <c r="N5" s="5" t="s">
        <v>16</v>
      </c>
      <c r="O5" s="4">
        <f>Tabla53839404142[[#This Row],[FECHA]]</f>
        <v>44826</v>
      </c>
      <c r="P5" s="7">
        <f>D5</f>
        <v>0.3125</v>
      </c>
      <c r="Q5" s="7">
        <f t="shared" si="0"/>
        <v>2.430555555555558E-2</v>
      </c>
      <c r="R5" s="7">
        <f t="shared" si="0"/>
        <v>1.7361111111111105E-2</v>
      </c>
      <c r="S5" s="7">
        <f t="shared" si="0"/>
        <v>0.15624999999999994</v>
      </c>
      <c r="T5" s="7">
        <f>+Tabla53839404142[[#This Row],[ALMUERZO]]-Tabla53839404142[[#This Row],[TERMINO ACT. AM]]</f>
        <v>1.0416666666666741E-2</v>
      </c>
      <c r="U5" s="7">
        <f>+Tabla53839404142[[#This Row],[INICIO ACTIVIDADES PM]]-Tabla53839404142[[#This Row],[ALMUERZO]]</f>
        <v>3.125E-2</v>
      </c>
      <c r="V5" s="7">
        <f>+Tabla53839404142[[#This Row],[TERMINO ACTIVIDADES PM]]-Tabla53839404142[[#This Row],[INICIO ACTIVIDADES PM]]</f>
        <v>0.10069444444444464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99</v>
      </c>
      <c r="B6" s="12" t="s">
        <v>28</v>
      </c>
      <c r="C6" s="4">
        <f>+Tabla5[[#This Row],[FECHA]]</f>
        <v>44827</v>
      </c>
      <c r="D6" s="37">
        <v>0.3125</v>
      </c>
      <c r="E6" s="37">
        <v>0.33333333333333331</v>
      </c>
      <c r="F6" s="37">
        <v>0.34583333333333338</v>
      </c>
      <c r="G6" s="37">
        <v>0.52777777777777779</v>
      </c>
      <c r="H6" s="37">
        <v>0.54166666666666663</v>
      </c>
      <c r="I6" s="37">
        <v>0.57291666666666663</v>
      </c>
      <c r="J6" s="46">
        <v>0.65277777777777801</v>
      </c>
      <c r="K6" s="47"/>
      <c r="M6" s="5"/>
      <c r="N6" s="5" t="s">
        <v>17</v>
      </c>
      <c r="O6" s="4">
        <f>Tabla53839404142[[#This Row],[FECHA]]</f>
        <v>44827</v>
      </c>
      <c r="P6" s="7">
        <f>D6</f>
        <v>0.3125</v>
      </c>
      <c r="Q6" s="7">
        <f t="shared" si="0"/>
        <v>2.0833333333333315E-2</v>
      </c>
      <c r="R6" s="7">
        <f t="shared" si="0"/>
        <v>1.2500000000000067E-2</v>
      </c>
      <c r="S6" s="7">
        <f t="shared" si="0"/>
        <v>0.18194444444444441</v>
      </c>
      <c r="T6" s="7">
        <f>+Tabla53839404142[[#This Row],[ALMUERZO]]-Tabla53839404142[[#This Row],[TERMINO ACT. AM]]</f>
        <v>1.388888888888884E-2</v>
      </c>
      <c r="U6" s="7">
        <f>+Tabla53839404142[[#This Row],[INICIO ACTIVIDADES PM]]-Tabla53839404142[[#This Row],[ALMUERZO]]</f>
        <v>3.125E-2</v>
      </c>
      <c r="V6" s="7">
        <f>+Tabla53839404142[[#This Row],[TERMINO ACTIVIDADES PM]]-Tabla53839404142[[#This Row],[INICIO ACTIVIDADES PM]]</f>
        <v>7.9861111111111382E-2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99</v>
      </c>
      <c r="B7" s="12" t="s">
        <v>38</v>
      </c>
      <c r="C7" s="4">
        <f>+Tabla5[[#This Row],[FECHA]]</f>
        <v>44828</v>
      </c>
      <c r="D7" s="37">
        <v>0.3125</v>
      </c>
      <c r="E7" s="37">
        <v>0.33333333333333331</v>
      </c>
      <c r="F7" s="37">
        <v>0.35069444444444442</v>
      </c>
      <c r="G7" s="56">
        <v>0.53194444444444444</v>
      </c>
      <c r="H7" s="37">
        <v>0.54166666666666663</v>
      </c>
      <c r="I7" s="37">
        <v>0.5708333333333333</v>
      </c>
      <c r="J7" s="46">
        <v>0.65277777777777801</v>
      </c>
      <c r="K7" s="47"/>
      <c r="M7" s="5"/>
      <c r="N7" s="5" t="s">
        <v>18</v>
      </c>
      <c r="O7" s="4">
        <f>Tabla53839404142[[#This Row],[FECHA]]</f>
        <v>44828</v>
      </c>
      <c r="P7" s="7">
        <f>D7</f>
        <v>0.3125</v>
      </c>
      <c r="Q7" s="7">
        <f t="shared" si="0"/>
        <v>2.0833333333333315E-2</v>
      </c>
      <c r="R7" s="7">
        <f t="shared" si="0"/>
        <v>1.7361111111111105E-2</v>
      </c>
      <c r="S7" s="7">
        <f t="shared" si="0"/>
        <v>0.18125000000000002</v>
      </c>
      <c r="T7" s="7">
        <f>+Tabla53839404142[[#This Row],[ALMUERZO]]-Tabla53839404142[[#This Row],[TERMINO ACT. AM]]</f>
        <v>9.7222222222221877E-3</v>
      </c>
      <c r="U7" s="7">
        <f>+Tabla53839404142[[#This Row],[INICIO ACTIVIDADES PM]]-Tabla53839404142[[#This Row],[ALMUERZO]]</f>
        <v>2.9166666666666674E-2</v>
      </c>
      <c r="V7" s="7">
        <f>+Tabla53839404142[[#This Row],[TERMINO ACTIVIDADES PM]]-Tabla53839404142[[#This Row],[INICIO ACTIVIDADES PM]]</f>
        <v>8.1944444444444708E-2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Tabla53839404142[[#This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T10" s="3"/>
      <c r="X10" s="77"/>
      <c r="Y10" s="77"/>
      <c r="Z10" s="78"/>
      <c r="AA10" s="78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T11" s="3"/>
      <c r="X11" s="77"/>
      <c r="Y11" s="77"/>
      <c r="Z11" s="78"/>
      <c r="AA11" s="78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T12" s="3"/>
      <c r="X12" s="77"/>
      <c r="Y12" s="77"/>
      <c r="Z12" s="78"/>
      <c r="AA12" s="78"/>
      <c r="AB12" s="3"/>
      <c r="AC12" s="3"/>
    </row>
    <row r="13" spans="1:29" ht="16.5" thickBot="1" x14ac:dyDescent="0.3">
      <c r="A13" s="12"/>
      <c r="B13" s="12"/>
      <c r="C13" s="12"/>
      <c r="D13" s="37"/>
      <c r="E13" s="37"/>
      <c r="F13" s="37"/>
      <c r="G13" s="37"/>
      <c r="H13" s="37"/>
      <c r="I13" s="37"/>
      <c r="J13" s="46"/>
      <c r="K13" s="56"/>
      <c r="M13" s="5"/>
      <c r="N13" s="5"/>
      <c r="O13" s="4"/>
      <c r="T13" s="3"/>
      <c r="X13" s="77"/>
      <c r="Y13" s="77"/>
      <c r="Z13" s="78"/>
      <c r="AA13" s="78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77"/>
      <c r="Y14" s="77"/>
      <c r="Z14" s="78"/>
      <c r="AA14" s="78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85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0.26736111111111116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0.25694444444444459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0.26180555555555579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0.26319444444444473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0.26232638888888909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177">
        <f>G21/G22</f>
        <v>1.0493055555555564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78" t="s">
        <v>105</v>
      </c>
      <c r="J27" s="179" t="s">
        <v>104</v>
      </c>
      <c r="T27" s="3"/>
    </row>
    <row r="28" spans="1:20" ht="15.6" customHeight="1" x14ac:dyDescent="0.25">
      <c r="I28" s="178"/>
      <c r="J28" s="180"/>
      <c r="T28" s="3"/>
    </row>
    <row r="29" spans="1:20" ht="15.6" customHeight="1" x14ac:dyDescent="0.25">
      <c r="I29" s="178"/>
      <c r="J29" s="180"/>
      <c r="T29" s="3"/>
    </row>
    <row r="30" spans="1:20" ht="15.6" customHeight="1" x14ac:dyDescent="0.25">
      <c r="I30" s="178"/>
      <c r="J30" s="181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57"/>
  <sheetViews>
    <sheetView zoomScale="60" zoomScaleNormal="60" workbookViewId="0">
      <selection activeCell="G10" sqref="G10"/>
    </sheetView>
  </sheetViews>
  <sheetFormatPr baseColWidth="10" defaultRowHeight="15.75" x14ac:dyDescent="0.25"/>
  <cols>
    <col min="6" max="6" width="15.75" customWidth="1"/>
    <col min="7" max="7" width="15.8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100</v>
      </c>
      <c r="B3" s="12" t="s">
        <v>37</v>
      </c>
      <c r="C3" s="4">
        <f>+Tabla5[[#This Row],[FECHA]]</f>
        <v>44824</v>
      </c>
      <c r="D3" s="37"/>
      <c r="E3" s="37"/>
      <c r="F3" s="37"/>
      <c r="G3" s="37"/>
      <c r="H3" s="37"/>
      <c r="I3" s="37"/>
      <c r="J3" s="46"/>
      <c r="K3" s="47"/>
      <c r="L3" s="53"/>
      <c r="M3" s="53"/>
      <c r="N3" s="57" t="s">
        <v>15</v>
      </c>
      <c r="O3" s="4">
        <f>Tabla5383940414243[[#This Row],[FECHA]]</f>
        <v>44824</v>
      </c>
      <c r="P3" s="7">
        <f>D3</f>
        <v>0</v>
      </c>
      <c r="Q3" s="7">
        <f>E3-D3</f>
        <v>0</v>
      </c>
      <c r="R3" s="7">
        <f>F3-E3</f>
        <v>0</v>
      </c>
      <c r="S3" s="7">
        <f>G3-F3</f>
        <v>0</v>
      </c>
      <c r="T3" s="7">
        <f>+Tabla5383940414243[[#This Row],[ALMUERZO]]-Tabla5383940414243[[#This Row],[TERMINO ACT. AM]]</f>
        <v>0</v>
      </c>
      <c r="U3" s="7">
        <f>+Tabla5383940414243[[#This Row],[INICIO ACTIVIDADES PM]]-Tabla5383940414243[[#This Row],[ALMUERZO]]</f>
        <v>0</v>
      </c>
      <c r="V3" s="7">
        <f>+Tabla5383940414243[[#This Row],[TERMINO ACTIVIDADES PM]]-Tabla5383940414243[[#This Row],[INICIO ACTIVIDADES PM]]</f>
        <v>0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100</v>
      </c>
      <c r="B4" s="12" t="s">
        <v>26</v>
      </c>
      <c r="C4" s="4">
        <f>+Tabla5[[#This Row],[FECHA]]</f>
        <v>44825</v>
      </c>
      <c r="D4" s="37">
        <v>0.31458333333333333</v>
      </c>
      <c r="E4" s="37">
        <v>0.32291666666666669</v>
      </c>
      <c r="F4" s="37">
        <v>0.34375</v>
      </c>
      <c r="G4" s="37">
        <v>0.50347222222222221</v>
      </c>
      <c r="H4" s="37">
        <v>0.50694444444444442</v>
      </c>
      <c r="I4" s="37">
        <v>0.52986111111111112</v>
      </c>
      <c r="J4" s="46">
        <v>0.65972222222222221</v>
      </c>
      <c r="K4" s="47"/>
      <c r="M4" s="5"/>
      <c r="N4" s="5" t="s">
        <v>16</v>
      </c>
      <c r="O4" s="4">
        <f>Tabla5383940414243[[#This Row],[FECHA]]</f>
        <v>44825</v>
      </c>
      <c r="P4" s="7">
        <f>D4</f>
        <v>0.31458333333333333</v>
      </c>
      <c r="Q4" s="7">
        <f t="shared" ref="Q4:S7" si="0">E4-D4</f>
        <v>8.3333333333333592E-3</v>
      </c>
      <c r="R4" s="7">
        <f t="shared" si="0"/>
        <v>2.0833333333333315E-2</v>
      </c>
      <c r="S4" s="7">
        <f t="shared" si="0"/>
        <v>0.15972222222222221</v>
      </c>
      <c r="T4" s="7">
        <f>+Tabla5383940414243[[#This Row],[ALMUERZO]]-Tabla5383940414243[[#This Row],[TERMINO ACT. AM]]</f>
        <v>3.4722222222222099E-3</v>
      </c>
      <c r="U4" s="7">
        <f>+Tabla5383940414243[[#This Row],[INICIO ACTIVIDADES PM]]-Tabla5383940414243[[#This Row],[ALMUERZO]]</f>
        <v>2.2916666666666696E-2</v>
      </c>
      <c r="V4" s="7">
        <f>+Tabla5383940414243[[#This Row],[TERMINO ACTIVIDADES PM]]-Tabla5383940414243[[#This Row],[INICIO ACTIVIDADES PM]]</f>
        <v>0.12986111111111109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100</v>
      </c>
      <c r="B5" s="12" t="s">
        <v>27</v>
      </c>
      <c r="C5" s="4">
        <f>+Tabla5[[#This Row],[FECHA]]</f>
        <v>44826</v>
      </c>
      <c r="D5" s="37">
        <v>0.3125</v>
      </c>
      <c r="E5" s="37">
        <v>0.3263888888888889</v>
      </c>
      <c r="F5" s="37">
        <v>0.34375</v>
      </c>
      <c r="G5" s="37">
        <v>0.52222222222222225</v>
      </c>
      <c r="H5" s="37">
        <v>0.52777777777777779</v>
      </c>
      <c r="I5" s="37">
        <v>0.55208333333333337</v>
      </c>
      <c r="J5" s="46">
        <v>0.65972222222222199</v>
      </c>
      <c r="K5" s="47"/>
      <c r="M5" s="5"/>
      <c r="N5" s="5" t="s">
        <v>16</v>
      </c>
      <c r="O5" s="4">
        <f>Tabla5383940414243[[#This Row],[FECHA]]</f>
        <v>44826</v>
      </c>
      <c r="P5" s="7">
        <f>D5</f>
        <v>0.3125</v>
      </c>
      <c r="Q5" s="7">
        <f t="shared" si="0"/>
        <v>1.3888888888888895E-2</v>
      </c>
      <c r="R5" s="7">
        <f t="shared" si="0"/>
        <v>1.7361111111111105E-2</v>
      </c>
      <c r="S5" s="7">
        <f t="shared" si="0"/>
        <v>0.17847222222222225</v>
      </c>
      <c r="T5" s="7">
        <f>+Tabla5383940414243[[#This Row],[ALMUERZO]]-Tabla5383940414243[[#This Row],[TERMINO ACT. AM]]</f>
        <v>5.5555555555555358E-3</v>
      </c>
      <c r="U5" s="7">
        <f>+Tabla5383940414243[[#This Row],[INICIO ACTIVIDADES PM]]-Tabla5383940414243[[#This Row],[ALMUERZO]]</f>
        <v>2.430555555555558E-2</v>
      </c>
      <c r="V5" s="7">
        <f>+Tabla5383940414243[[#This Row],[TERMINO ACTIVIDADES PM]]-Tabla5383940414243[[#This Row],[INICIO ACTIVIDADES PM]]</f>
        <v>0.10763888888888862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100</v>
      </c>
      <c r="B6" s="12" t="s">
        <v>28</v>
      </c>
      <c r="C6" s="4">
        <f>+Tabla5[[#This Row],[FECHA]]</f>
        <v>44827</v>
      </c>
      <c r="D6" s="37">
        <v>0.3125</v>
      </c>
      <c r="E6" s="37">
        <v>0.31944444444444448</v>
      </c>
      <c r="F6" s="37">
        <v>0.34375</v>
      </c>
      <c r="G6" s="37">
        <v>0.50347222222222221</v>
      </c>
      <c r="H6" s="37">
        <v>0.50694444444444442</v>
      </c>
      <c r="I6" s="37">
        <v>0.53125</v>
      </c>
      <c r="J6" s="46">
        <v>0.65972222222222199</v>
      </c>
      <c r="K6" s="47"/>
      <c r="M6" s="5"/>
      <c r="N6" s="5" t="s">
        <v>17</v>
      </c>
      <c r="O6" s="4">
        <f>Tabla5383940414243[[#This Row],[FECHA]]</f>
        <v>44827</v>
      </c>
      <c r="P6" s="7">
        <f>D6</f>
        <v>0.3125</v>
      </c>
      <c r="Q6" s="7">
        <f t="shared" si="0"/>
        <v>6.9444444444444753E-3</v>
      </c>
      <c r="R6" s="7">
        <f t="shared" si="0"/>
        <v>2.4305555555555525E-2</v>
      </c>
      <c r="S6" s="7">
        <f t="shared" si="0"/>
        <v>0.15972222222222221</v>
      </c>
      <c r="T6" s="7">
        <f>+Tabla5383940414243[[#This Row],[ALMUERZO]]-Tabla5383940414243[[#This Row],[TERMINO ACT. AM]]</f>
        <v>3.4722222222222099E-3</v>
      </c>
      <c r="U6" s="7">
        <f>+Tabla5383940414243[[#This Row],[INICIO ACTIVIDADES PM]]-Tabla5383940414243[[#This Row],[ALMUERZO]]</f>
        <v>2.430555555555558E-2</v>
      </c>
      <c r="V6" s="7">
        <f>+Tabla5383940414243[[#This Row],[TERMINO ACTIVIDADES PM]]-Tabla5383940414243[[#This Row],[INICIO ACTIVIDADES PM]]</f>
        <v>0.12847222222222199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100</v>
      </c>
      <c r="B7" s="12" t="s">
        <v>38</v>
      </c>
      <c r="C7" s="4">
        <f>+Tabla5[[#This Row],[FECHA]]</f>
        <v>44828</v>
      </c>
      <c r="D7" s="37">
        <v>0.30555555555555552</v>
      </c>
      <c r="E7" s="37">
        <v>0.31597222222222221</v>
      </c>
      <c r="F7" s="37">
        <v>0.34027777777777773</v>
      </c>
      <c r="G7" s="37">
        <v>0.50347222222222221</v>
      </c>
      <c r="H7" s="37">
        <v>0.50694444444444442</v>
      </c>
      <c r="I7" s="37">
        <v>0.53125</v>
      </c>
      <c r="J7" s="46">
        <v>0.65972222222222199</v>
      </c>
      <c r="K7" s="47"/>
      <c r="M7" s="5"/>
      <c r="N7" s="5" t="s">
        <v>18</v>
      </c>
      <c r="O7" s="4">
        <f>Tabla5383940414243[[#This Row],[FECHA]]</f>
        <v>44828</v>
      </c>
      <c r="P7" s="7">
        <f>D7</f>
        <v>0.30555555555555552</v>
      </c>
      <c r="Q7" s="7">
        <f t="shared" si="0"/>
        <v>1.0416666666666685E-2</v>
      </c>
      <c r="R7" s="7">
        <f t="shared" si="0"/>
        <v>2.4305555555555525E-2</v>
      </c>
      <c r="S7" s="7">
        <f t="shared" si="0"/>
        <v>0.16319444444444448</v>
      </c>
      <c r="T7" s="7">
        <f>+Tabla5383940414243[[#This Row],[ALMUERZO]]-Tabla5383940414243[[#This Row],[TERMINO ACT. AM]]</f>
        <v>3.4722222222222099E-3</v>
      </c>
      <c r="U7" s="7">
        <f>+Tabla5383940414243[[#This Row],[INICIO ACTIVIDADES PM]]-Tabla5383940414243[[#This Row],[ALMUERZO]]</f>
        <v>2.430555555555558E-2</v>
      </c>
      <c r="V7" s="7">
        <f>+Tabla5383940414243[[#This Row],[TERMINO ACTIVIDADES PM]]-Tabla5383940414243[[#This Row],[INICIO ACTIVIDADES PM]]</f>
        <v>0.12847222222222199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Tabla5383940414243[[#This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P10" s="7"/>
      <c r="Q10" s="77"/>
      <c r="R10" s="77"/>
      <c r="S10" s="77"/>
      <c r="T10" s="77"/>
      <c r="U10" s="77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P11" s="7"/>
      <c r="Q11" s="77"/>
      <c r="R11" s="77"/>
      <c r="S11" s="77"/>
      <c r="T11" s="77"/>
      <c r="U11" s="77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P12" s="7"/>
      <c r="Q12" s="77"/>
      <c r="R12" s="77"/>
      <c r="S12" s="77"/>
      <c r="T12" s="77"/>
      <c r="U12" s="77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P13" s="7"/>
      <c r="Q13" s="77"/>
      <c r="R13" s="77"/>
      <c r="S13" s="77"/>
      <c r="T13" s="77"/>
      <c r="U13" s="77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86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0.2895833333333333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0.28611111111111087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0.2881944444444442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0.29166666666666646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0.2888888888888887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0.29166666666666669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0.99047619047618973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78" t="s">
        <v>105</v>
      </c>
      <c r="J27" s="179" t="s">
        <v>103</v>
      </c>
      <c r="T27" s="3"/>
    </row>
    <row r="28" spans="1:20" ht="15.6" customHeight="1" x14ac:dyDescent="0.25">
      <c r="I28" s="178"/>
      <c r="J28" s="180"/>
      <c r="T28" s="3"/>
    </row>
    <row r="29" spans="1:20" ht="15.6" customHeight="1" x14ac:dyDescent="0.25">
      <c r="I29" s="178"/>
      <c r="J29" s="180"/>
      <c r="T29" s="3"/>
    </row>
    <row r="30" spans="1:20" ht="15.6" customHeight="1" x14ac:dyDescent="0.25">
      <c r="I30" s="178"/>
      <c r="J30" s="181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57"/>
  <sheetViews>
    <sheetView zoomScale="60" zoomScaleNormal="60" workbookViewId="0">
      <selection activeCell="I26" sqref="I26"/>
    </sheetView>
  </sheetViews>
  <sheetFormatPr baseColWidth="10" defaultRowHeight="15.75" x14ac:dyDescent="0.25"/>
  <cols>
    <col min="6" max="6" width="17.75" customWidth="1"/>
    <col min="7" max="7" width="16.75" customWidth="1"/>
  </cols>
  <sheetData>
    <row r="1" spans="1:29" x14ac:dyDescent="0.25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87</v>
      </c>
      <c r="B3" s="12" t="s">
        <v>37</v>
      </c>
      <c r="C3" s="4">
        <f>+Tabla5[[#This Row],[FECHA]]</f>
        <v>44824</v>
      </c>
      <c r="D3" s="37"/>
      <c r="E3" s="37"/>
      <c r="F3" s="37"/>
      <c r="G3" s="46"/>
      <c r="H3" s="46"/>
      <c r="I3" s="46"/>
      <c r="J3" s="46"/>
      <c r="K3" s="47"/>
      <c r="L3" s="53"/>
      <c r="M3" s="53"/>
      <c r="N3" s="57" t="s">
        <v>15</v>
      </c>
      <c r="O3" s="4">
        <f>Tabla538394041424344[[#This Row],[FECHA]]</f>
        <v>44824</v>
      </c>
      <c r="P3" s="7">
        <f>D3</f>
        <v>0</v>
      </c>
      <c r="Q3" s="7">
        <f>E3-D3</f>
        <v>0</v>
      </c>
      <c r="R3" s="7">
        <f>F3-E3</f>
        <v>0</v>
      </c>
      <c r="S3" s="7">
        <f>G3-F3</f>
        <v>0</v>
      </c>
      <c r="T3" s="7">
        <f>+Tabla538394041424344[[#This Row],[ALMUERZO]]-Tabla538394041424344[[#This Row],[TERMINO ACT. AM]]</f>
        <v>0</v>
      </c>
      <c r="U3" s="7">
        <f>+Tabla538394041424344[[#This Row],[INICIO ACTIVIDADES PM]]-Tabla538394041424344[[#This Row],[ALMUERZO]]</f>
        <v>0</v>
      </c>
      <c r="V3" s="7">
        <f>+Tabla538394041424344[[#This Row],[TERMINO ACTIVIDADES PM]]-Tabla538394041424344[[#This Row],[INICIO ACTIVIDADES PM]]</f>
        <v>0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  <c r="AC3" s="3">
        <f>+$J$1</f>
        <v>0.97222222222222221</v>
      </c>
    </row>
    <row r="4" spans="1:29" x14ac:dyDescent="0.25">
      <c r="A4" s="12" t="s">
        <v>87</v>
      </c>
      <c r="B4" s="12" t="s">
        <v>26</v>
      </c>
      <c r="C4" s="4">
        <f>+Tabla5[[#This Row],[FECHA]]</f>
        <v>44825</v>
      </c>
      <c r="D4" s="37">
        <v>0.67361111111111116</v>
      </c>
      <c r="E4" s="37">
        <v>0.69444444444444453</v>
      </c>
      <c r="F4" s="37">
        <v>0.71180555555555547</v>
      </c>
      <c r="G4" s="46">
        <v>0.91666666666666663</v>
      </c>
      <c r="H4" s="46">
        <v>0.92361111111111116</v>
      </c>
      <c r="I4" s="46">
        <v>0.94791666666666663</v>
      </c>
      <c r="J4" s="46">
        <v>0.99305555555555547</v>
      </c>
      <c r="K4" s="47"/>
      <c r="M4" s="5"/>
      <c r="N4" s="5" t="s">
        <v>16</v>
      </c>
      <c r="O4" s="4">
        <f>Tabla538394041424344[[#This Row],[FECHA]]</f>
        <v>44825</v>
      </c>
      <c r="P4" s="7">
        <f>D4</f>
        <v>0.67361111111111116</v>
      </c>
      <c r="Q4" s="7">
        <f t="shared" ref="Q4:S7" si="0">E4-D4</f>
        <v>2.083333333333337E-2</v>
      </c>
      <c r="R4" s="7">
        <f t="shared" si="0"/>
        <v>1.7361111111110938E-2</v>
      </c>
      <c r="S4" s="7">
        <f t="shared" si="0"/>
        <v>0.20486111111111116</v>
      </c>
      <c r="T4" s="7">
        <f>+Tabla538394041424344[[#This Row],[ALMUERZO]]-Tabla538394041424344[[#This Row],[TERMINO ACT. AM]]</f>
        <v>6.9444444444445308E-3</v>
      </c>
      <c r="U4" s="7">
        <f>+Tabla538394041424344[[#This Row],[INICIO ACTIVIDADES PM]]-Tabla538394041424344[[#This Row],[ALMUERZO]]</f>
        <v>2.4305555555555469E-2</v>
      </c>
      <c r="V4" s="7">
        <f>+Tabla538394041424344[[#This Row],[TERMINO ACTIVIDADES PM]]-Tabla538394041424344[[#This Row],[INICIO ACTIVIDADES PM]]</f>
        <v>4.513888888888884E-2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  <c r="AC4" s="3">
        <f t="shared" ref="AC4:AC7" si="7">+$J$1</f>
        <v>0.97222222222222221</v>
      </c>
    </row>
    <row r="5" spans="1:29" x14ac:dyDescent="0.25">
      <c r="A5" s="12" t="s">
        <v>87</v>
      </c>
      <c r="B5" s="12" t="s">
        <v>27</v>
      </c>
      <c r="C5" s="4">
        <f>+Tabla5[[#This Row],[FECHA]]</f>
        <v>44826</v>
      </c>
      <c r="D5" s="37">
        <v>0.67708333333333337</v>
      </c>
      <c r="E5" s="37">
        <v>0.69097222222222221</v>
      </c>
      <c r="F5" s="37">
        <v>0.7104166666666667</v>
      </c>
      <c r="G5" s="46">
        <v>0.9375</v>
      </c>
      <c r="H5" s="46">
        <v>0.9458333333333333</v>
      </c>
      <c r="I5" s="46">
        <v>0.96875</v>
      </c>
      <c r="J5" s="46">
        <v>0.99305555555555547</v>
      </c>
      <c r="K5" s="47"/>
      <c r="M5" s="5"/>
      <c r="N5" s="5" t="s">
        <v>16</v>
      </c>
      <c r="O5" s="4">
        <f>Tabla538394041424344[[#This Row],[FECHA]]</f>
        <v>44826</v>
      </c>
      <c r="P5" s="7">
        <f>D5</f>
        <v>0.67708333333333337</v>
      </c>
      <c r="Q5" s="7">
        <f t="shared" si="0"/>
        <v>1.388888888888884E-2</v>
      </c>
      <c r="R5" s="7">
        <f t="shared" si="0"/>
        <v>1.9444444444444486E-2</v>
      </c>
      <c r="S5" s="7">
        <f t="shared" si="0"/>
        <v>0.2270833333333333</v>
      </c>
      <c r="T5" s="7">
        <f>+Tabla538394041424344[[#This Row],[ALMUERZO]]-Tabla538394041424344[[#This Row],[TERMINO ACT. AM]]</f>
        <v>8.3333333333333037E-3</v>
      </c>
      <c r="U5" s="7">
        <f>+Tabla538394041424344[[#This Row],[INICIO ACTIVIDADES PM]]-Tabla538394041424344[[#This Row],[ALMUERZO]]</f>
        <v>2.2916666666666696E-2</v>
      </c>
      <c r="V5" s="7">
        <f>+Tabla538394041424344[[#This Row],[TERMINO ACTIVIDADES PM]]-Tabla538394041424344[[#This Row],[INICIO ACTIVIDADES PM]]</f>
        <v>2.4305555555555469E-2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  <c r="AC5" s="3">
        <f t="shared" si="7"/>
        <v>0.97222222222222221</v>
      </c>
    </row>
    <row r="6" spans="1:29" x14ac:dyDescent="0.25">
      <c r="A6" s="12" t="s">
        <v>87</v>
      </c>
      <c r="B6" s="12" t="s">
        <v>28</v>
      </c>
      <c r="C6" s="4">
        <f>+Tabla5[[#This Row],[FECHA]]</f>
        <v>44827</v>
      </c>
      <c r="D6" s="37">
        <v>0.67361111111111105</v>
      </c>
      <c r="E6" s="37">
        <v>0.69097222222222221</v>
      </c>
      <c r="F6" s="37">
        <v>0.70833333333333337</v>
      </c>
      <c r="G6" s="46">
        <v>0.92708333333333337</v>
      </c>
      <c r="H6" s="37">
        <v>0.93402777777777779</v>
      </c>
      <c r="I6" s="46">
        <v>0.95972222222222225</v>
      </c>
      <c r="J6" s="46">
        <v>0.99305555555555503</v>
      </c>
      <c r="K6" s="47"/>
      <c r="M6" s="5"/>
      <c r="N6" s="5" t="s">
        <v>17</v>
      </c>
      <c r="O6" s="4">
        <f>Tabla538394041424344[[#This Row],[FECHA]]</f>
        <v>44827</v>
      </c>
      <c r="P6" s="7">
        <f>D6</f>
        <v>0.67361111111111105</v>
      </c>
      <c r="Q6" s="7">
        <f t="shared" si="0"/>
        <v>1.736111111111116E-2</v>
      </c>
      <c r="R6" s="7">
        <f t="shared" si="0"/>
        <v>1.736111111111116E-2</v>
      </c>
      <c r="S6" s="7">
        <f t="shared" si="0"/>
        <v>0.21875</v>
      </c>
      <c r="T6" s="7">
        <f>+Tabla538394041424344[[#This Row],[ALMUERZO]]-Tabla538394041424344[[#This Row],[TERMINO ACT. AM]]</f>
        <v>6.9444444444444198E-3</v>
      </c>
      <c r="U6" s="7">
        <f>+Tabla538394041424344[[#This Row],[INICIO ACTIVIDADES PM]]-Tabla538394041424344[[#This Row],[ALMUERZO]]</f>
        <v>2.5694444444444464E-2</v>
      </c>
      <c r="V6" s="7">
        <f>+Tabla538394041424344[[#This Row],[TERMINO ACTIVIDADES PM]]-Tabla538394041424344[[#This Row],[INICIO ACTIVIDADES PM]]</f>
        <v>3.3333333333332771E-2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  <c r="AC6" s="3">
        <f t="shared" si="7"/>
        <v>0.97222222222222221</v>
      </c>
    </row>
    <row r="7" spans="1:29" x14ac:dyDescent="0.25">
      <c r="A7" s="12" t="s">
        <v>87</v>
      </c>
      <c r="B7" s="12" t="s">
        <v>38</v>
      </c>
      <c r="C7" s="4">
        <f>+Tabla5[[#This Row],[FECHA]]</f>
        <v>44828</v>
      </c>
      <c r="D7" s="37">
        <v>0.67361111111111105</v>
      </c>
      <c r="E7" s="37">
        <v>0.69097222222222221</v>
      </c>
      <c r="F7" s="37">
        <v>0.70833333333333337</v>
      </c>
      <c r="G7" s="46">
        <v>0.93402777777777779</v>
      </c>
      <c r="H7" s="46">
        <v>0.94444444444444453</v>
      </c>
      <c r="I7" s="46">
        <v>0.96875</v>
      </c>
      <c r="J7" s="46">
        <v>0.99305555555555503</v>
      </c>
      <c r="K7" s="47"/>
      <c r="M7" s="5"/>
      <c r="N7" s="5" t="s">
        <v>18</v>
      </c>
      <c r="O7" s="4">
        <f>Tabla538394041424344[[#This Row],[FECHA]]</f>
        <v>44828</v>
      </c>
      <c r="P7" s="7">
        <f>D7</f>
        <v>0.67361111111111105</v>
      </c>
      <c r="Q7" s="7">
        <f t="shared" si="0"/>
        <v>1.736111111111116E-2</v>
      </c>
      <c r="R7" s="7">
        <f t="shared" si="0"/>
        <v>1.736111111111116E-2</v>
      </c>
      <c r="S7" s="7">
        <f t="shared" si="0"/>
        <v>0.22569444444444442</v>
      </c>
      <c r="T7" s="7">
        <f>+Tabla538394041424344[[#This Row],[ALMUERZO]]-Tabla538394041424344[[#This Row],[TERMINO ACT. AM]]</f>
        <v>1.0416666666666741E-2</v>
      </c>
      <c r="U7" s="7">
        <f>+Tabla538394041424344[[#This Row],[INICIO ACTIVIDADES PM]]-Tabla538394041424344[[#This Row],[ALMUERZO]]</f>
        <v>2.4305555555555469E-2</v>
      </c>
      <c r="V7" s="7">
        <f>+Tabla538394041424344[[#This Row],[TERMINO ACTIVIDADES PM]]-Tabla538394041424344[[#This Row],[INICIO ACTIVIDADES PM]]</f>
        <v>2.4305555555555025E-2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  <c r="AC7" s="3">
        <f t="shared" si="7"/>
        <v>0.97222222222222221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37"/>
      <c r="D9" s="37"/>
      <c r="E9" s="37"/>
      <c r="F9" s="46"/>
      <c r="G9" s="46"/>
      <c r="H9" s="46"/>
      <c r="I9" s="46"/>
      <c r="J9" s="11"/>
      <c r="K9" s="38"/>
      <c r="M9" s="5">
        <f>Tabla538394041424344[[#This Row],[Columna1]]</f>
        <v>0</v>
      </c>
      <c r="N9" s="5"/>
      <c r="O9" s="4"/>
      <c r="AA9" s="3"/>
      <c r="AB9" s="3"/>
      <c r="AC9" s="3"/>
    </row>
    <row r="10" spans="1:29" x14ac:dyDescent="0.25">
      <c r="A10" s="40"/>
      <c r="B10" s="40"/>
      <c r="C10" s="37"/>
      <c r="D10" s="37"/>
      <c r="E10" s="37"/>
      <c r="F10" s="46"/>
      <c r="G10" s="46"/>
      <c r="H10" s="46"/>
      <c r="I10" s="46"/>
      <c r="J10" s="40"/>
      <c r="K10" s="38"/>
      <c r="M10" s="18"/>
      <c r="N10" s="5"/>
      <c r="O10" s="4"/>
      <c r="V10" s="78"/>
      <c r="W10" s="78"/>
      <c r="AA10" s="3"/>
      <c r="AB10" s="3"/>
      <c r="AC10" s="3"/>
    </row>
    <row r="11" spans="1:29" x14ac:dyDescent="0.25">
      <c r="A11" s="40"/>
      <c r="B11" s="40"/>
      <c r="C11" s="37"/>
      <c r="D11" s="37"/>
      <c r="E11" s="37"/>
      <c r="F11" s="46"/>
      <c r="G11" s="46"/>
      <c r="H11" s="46"/>
      <c r="I11" s="46"/>
      <c r="J11" s="40"/>
      <c r="K11" s="38"/>
      <c r="M11" s="5"/>
      <c r="N11" s="5"/>
      <c r="O11" s="4"/>
      <c r="V11" s="78"/>
      <c r="W11" s="78"/>
      <c r="AA11" s="3"/>
      <c r="AB11" s="3"/>
      <c r="AC11" s="3"/>
    </row>
    <row r="12" spans="1:29" x14ac:dyDescent="0.25">
      <c r="A12" s="11"/>
      <c r="B12" s="11"/>
      <c r="C12" s="37"/>
      <c r="D12" s="37"/>
      <c r="E12" s="37"/>
      <c r="F12" s="46"/>
      <c r="G12" s="37"/>
      <c r="H12" s="46"/>
      <c r="I12" s="46"/>
      <c r="J12" s="11"/>
      <c r="K12" s="38"/>
      <c r="M12" s="5"/>
      <c r="N12" s="5"/>
      <c r="O12" s="4"/>
      <c r="V12" s="78"/>
      <c r="W12" s="78"/>
      <c r="AA12" s="3"/>
      <c r="AB12" s="3"/>
      <c r="AC12" s="3"/>
    </row>
    <row r="13" spans="1:29" ht="16.5" thickBot="1" x14ac:dyDescent="0.3">
      <c r="A13" s="12"/>
      <c r="B13" s="12"/>
      <c r="C13" s="37"/>
      <c r="D13" s="37"/>
      <c r="E13" s="37"/>
      <c r="F13" s="46"/>
      <c r="G13" s="46"/>
      <c r="H13" s="46"/>
      <c r="I13" s="46"/>
      <c r="J13" s="12"/>
      <c r="K13" s="56"/>
      <c r="M13" s="5"/>
      <c r="N13" s="5"/>
      <c r="O13" s="4"/>
      <c r="V13" s="77"/>
      <c r="W13" s="77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7"/>
      <c r="W14" s="77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87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0.25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0.25138888888888877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0.25208333333333277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0.24999999999999944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0.25086805555555525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1.003472222222221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78" t="s">
        <v>105</v>
      </c>
      <c r="J27" s="179" t="s">
        <v>103</v>
      </c>
      <c r="T27" s="3"/>
    </row>
    <row r="28" spans="1:20" ht="15.6" customHeight="1" x14ac:dyDescent="0.25">
      <c r="I28" s="178"/>
      <c r="J28" s="180"/>
      <c r="T28" s="3"/>
    </row>
    <row r="29" spans="1:20" ht="15.6" customHeight="1" x14ac:dyDescent="0.25">
      <c r="I29" s="178"/>
      <c r="J29" s="180"/>
      <c r="T29" s="3"/>
    </row>
    <row r="30" spans="1:20" ht="15.6" customHeight="1" x14ac:dyDescent="0.25">
      <c r="I30" s="178"/>
      <c r="J30" s="181"/>
      <c r="T30" s="3"/>
    </row>
    <row r="31" spans="1:20" x14ac:dyDescent="0.25">
      <c r="T31" s="3"/>
    </row>
    <row r="32" spans="1:20" x14ac:dyDescent="0.25">
      <c r="T32" s="3"/>
    </row>
    <row r="33" spans="11:20" ht="15.6" customHeight="1" x14ac:dyDescent="0.25">
      <c r="T33" s="3"/>
    </row>
    <row r="34" spans="11:20" x14ac:dyDescent="0.25">
      <c r="K34" s="84"/>
      <c r="T34" s="3"/>
    </row>
    <row r="35" spans="11:20" x14ac:dyDescent="0.25">
      <c r="T35" s="3"/>
    </row>
    <row r="36" spans="11:20" x14ac:dyDescent="0.25">
      <c r="T36" s="3"/>
    </row>
    <row r="37" spans="11:20" x14ac:dyDescent="0.25">
      <c r="T37" s="3"/>
    </row>
    <row r="38" spans="11:20" x14ac:dyDescent="0.25">
      <c r="T38" s="3"/>
    </row>
    <row r="39" spans="11:20" x14ac:dyDescent="0.25">
      <c r="T39" s="3"/>
    </row>
    <row r="40" spans="11:20" x14ac:dyDescent="0.25">
      <c r="T40" s="3"/>
    </row>
    <row r="41" spans="11:20" x14ac:dyDescent="0.25">
      <c r="T41" s="3"/>
    </row>
    <row r="42" spans="11:20" x14ac:dyDescent="0.25">
      <c r="T42" s="3"/>
    </row>
    <row r="43" spans="11:20" x14ac:dyDescent="0.25">
      <c r="T43" s="3"/>
    </row>
    <row r="44" spans="11:20" x14ac:dyDescent="0.25">
      <c r="T44" s="3"/>
    </row>
    <row r="45" spans="11:20" x14ac:dyDescent="0.25">
      <c r="T45" s="3"/>
    </row>
    <row r="46" spans="11:20" x14ac:dyDescent="0.25">
      <c r="T46" s="3"/>
    </row>
    <row r="47" spans="11:20" x14ac:dyDescent="0.25">
      <c r="T47" s="3"/>
    </row>
    <row r="48" spans="11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57"/>
  <sheetViews>
    <sheetView zoomScale="60" zoomScaleNormal="60" workbookViewId="0">
      <selection activeCell="C10" sqref="C10"/>
    </sheetView>
  </sheetViews>
  <sheetFormatPr baseColWidth="10" defaultRowHeight="15.75" x14ac:dyDescent="0.25"/>
  <cols>
    <col min="6" max="6" width="18.25" customWidth="1"/>
    <col min="7" max="7" width="13.5" customWidth="1"/>
    <col min="11" max="11" width="25.875" customWidth="1"/>
    <col min="20" max="20" width="13.875" bestFit="1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99</v>
      </c>
      <c r="B3" s="12" t="s">
        <v>37</v>
      </c>
      <c r="C3" s="4">
        <f>+Tabla5[[#This Row],[FECHA]]</f>
        <v>44824</v>
      </c>
      <c r="D3" s="37"/>
      <c r="E3" s="37"/>
      <c r="F3" s="37"/>
      <c r="G3" s="37"/>
      <c r="H3" s="37"/>
      <c r="I3" s="37"/>
      <c r="J3" s="46"/>
      <c r="K3" s="47"/>
      <c r="L3" s="53"/>
      <c r="M3" s="53"/>
      <c r="N3" s="57" t="s">
        <v>15</v>
      </c>
      <c r="O3" s="4">
        <f>Tabla5383940414243444546[[#This Row],[FECHA]]</f>
        <v>44824</v>
      </c>
      <c r="P3" s="7">
        <f>D3</f>
        <v>0</v>
      </c>
      <c r="Q3" s="7">
        <f>E3-D3</f>
        <v>0</v>
      </c>
      <c r="R3" s="7">
        <f>F3-E3</f>
        <v>0</v>
      </c>
      <c r="S3" s="7">
        <f>G3-F3</f>
        <v>0</v>
      </c>
      <c r="T3" s="7">
        <f>+Tabla5383940414243444546[[#This Row],[ALMUERZO]]-Tabla5383940414243444546[[#This Row],[TERMINO ACT. AM]]</f>
        <v>0</v>
      </c>
      <c r="U3" s="7">
        <f>+Tabla5383940414243444546[[#This Row],[INICIO ACTIVIDADES PM]]-Tabla5383940414243444546[[#This Row],[ALMUERZO]]</f>
        <v>0</v>
      </c>
      <c r="V3" s="7">
        <f>+Tabla5383940414243444546[[#This Row],[TERMINO ACTIVIDADES PM]]-Tabla5383940414243444546[[#This Row],[INICIO ACTIVIDADES PM]]</f>
        <v>0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99</v>
      </c>
      <c r="B4" s="12" t="s">
        <v>26</v>
      </c>
      <c r="C4" s="4">
        <f>+Tabla5[[#This Row],[FECHA]]</f>
        <v>44825</v>
      </c>
      <c r="D4" s="37">
        <v>0.31388888888888888</v>
      </c>
      <c r="E4" s="37">
        <v>0.3263888888888889</v>
      </c>
      <c r="F4" s="37">
        <v>0.34861111111111115</v>
      </c>
      <c r="G4" s="37">
        <v>0.58680555555555558</v>
      </c>
      <c r="H4" s="37">
        <v>0.59861111111111109</v>
      </c>
      <c r="I4" s="37">
        <v>0.625</v>
      </c>
      <c r="J4" s="46">
        <v>0.65277777777777779</v>
      </c>
      <c r="K4" s="47"/>
      <c r="M4" s="5"/>
      <c r="N4" s="5" t="s">
        <v>16</v>
      </c>
      <c r="O4" s="4">
        <f>Tabla5383940414243444546[[#This Row],[FECHA]]</f>
        <v>44825</v>
      </c>
      <c r="P4" s="7">
        <f>D4</f>
        <v>0.31388888888888888</v>
      </c>
      <c r="Q4" s="7">
        <f t="shared" ref="Q4:S7" si="0">E4-D4</f>
        <v>1.2500000000000011E-2</v>
      </c>
      <c r="R4" s="7">
        <f t="shared" si="0"/>
        <v>2.2222222222222254E-2</v>
      </c>
      <c r="S4" s="7">
        <f t="shared" si="0"/>
        <v>0.23819444444444443</v>
      </c>
      <c r="T4" s="7">
        <f>+Tabla5383940414243444546[[#This Row],[ALMUERZO]]-Tabla5383940414243444546[[#This Row],[TERMINO ACT. AM]]</f>
        <v>1.1805555555555514E-2</v>
      </c>
      <c r="U4" s="7">
        <f>+Tabla5383940414243444546[[#This Row],[INICIO ACTIVIDADES PM]]-Tabla5383940414243444546[[#This Row],[ALMUERZO]]</f>
        <v>2.6388888888888906E-2</v>
      </c>
      <c r="V4" s="7">
        <f>+Tabla5383940414243444546[[#This Row],[TERMINO ACTIVIDADES PM]]-Tabla5383940414243444546[[#This Row],[INICIO ACTIVIDADES PM]]</f>
        <v>2.777777777777779E-2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99</v>
      </c>
      <c r="B5" s="12" t="s">
        <v>27</v>
      </c>
      <c r="C5" s="4">
        <f>+Tabla5[[#This Row],[FECHA]]</f>
        <v>44826</v>
      </c>
      <c r="D5" s="37">
        <v>0.3125</v>
      </c>
      <c r="E5" s="37">
        <v>0.32291666666666669</v>
      </c>
      <c r="F5" s="37">
        <v>0.35069444444444442</v>
      </c>
      <c r="G5" s="37">
        <v>0.50138888888888888</v>
      </c>
      <c r="H5" s="37">
        <v>0.50972222222222219</v>
      </c>
      <c r="I5" s="37">
        <v>0.54166666666666663</v>
      </c>
      <c r="J5" s="46">
        <v>0.65277777777777801</v>
      </c>
      <c r="K5" s="47"/>
      <c r="M5" s="5"/>
      <c r="N5" s="5" t="s">
        <v>16</v>
      </c>
      <c r="O5" s="4">
        <f>Tabla5383940414243444546[[#This Row],[FECHA]]</f>
        <v>44826</v>
      </c>
      <c r="P5" s="7">
        <f>D5</f>
        <v>0.3125</v>
      </c>
      <c r="Q5" s="7">
        <f t="shared" si="0"/>
        <v>1.0416666666666685E-2</v>
      </c>
      <c r="R5" s="7">
        <f t="shared" si="0"/>
        <v>2.7777777777777735E-2</v>
      </c>
      <c r="S5" s="7">
        <f t="shared" si="0"/>
        <v>0.15069444444444446</v>
      </c>
      <c r="T5" s="7">
        <f>+Tabla5383940414243444546[[#This Row],[ALMUERZO]]-Tabla5383940414243444546[[#This Row],[TERMINO ACT. AM]]</f>
        <v>8.3333333333333037E-3</v>
      </c>
      <c r="U5" s="7">
        <f>+Tabla5383940414243444546[[#This Row],[INICIO ACTIVIDADES PM]]-Tabla5383940414243444546[[#This Row],[ALMUERZO]]</f>
        <v>3.1944444444444442E-2</v>
      </c>
      <c r="V5" s="7">
        <f>+Tabla5383940414243444546[[#This Row],[TERMINO ACTIVIDADES PM]]-Tabla5383940414243444546[[#This Row],[INICIO ACTIVIDADES PM]]</f>
        <v>0.11111111111111138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99</v>
      </c>
      <c r="B6" s="12" t="s">
        <v>28</v>
      </c>
      <c r="C6" s="4">
        <f>+Tabla5[[#This Row],[FECHA]]</f>
        <v>44827</v>
      </c>
      <c r="D6" s="37">
        <v>0.30902777777777779</v>
      </c>
      <c r="E6" s="37">
        <v>0.32083333333333336</v>
      </c>
      <c r="F6" s="37">
        <v>0.34375</v>
      </c>
      <c r="G6" s="37">
        <v>0.50208333333333333</v>
      </c>
      <c r="H6" s="37">
        <v>0.51250000000000007</v>
      </c>
      <c r="I6" s="37">
        <v>0.54166666666666663</v>
      </c>
      <c r="J6" s="46">
        <v>0.65277777777777801</v>
      </c>
      <c r="K6" s="47"/>
      <c r="M6" s="5"/>
      <c r="N6" s="5" t="s">
        <v>17</v>
      </c>
      <c r="O6" s="4">
        <f>Tabla5383940414243444546[[#This Row],[FECHA]]</f>
        <v>44827</v>
      </c>
      <c r="P6" s="7">
        <f>D6</f>
        <v>0.30902777777777779</v>
      </c>
      <c r="Q6" s="7">
        <f t="shared" si="0"/>
        <v>1.1805555555555569E-2</v>
      </c>
      <c r="R6" s="7">
        <f t="shared" si="0"/>
        <v>2.2916666666666641E-2</v>
      </c>
      <c r="S6" s="7">
        <f t="shared" si="0"/>
        <v>0.15833333333333333</v>
      </c>
      <c r="T6" s="7">
        <f>+Tabla5383940414243444546[[#This Row],[ALMUERZO]]-Tabla5383940414243444546[[#This Row],[TERMINO ACT. AM]]</f>
        <v>1.0416666666666741E-2</v>
      </c>
      <c r="U6" s="7">
        <f>+Tabla5383940414243444546[[#This Row],[INICIO ACTIVIDADES PM]]-Tabla5383940414243444546[[#This Row],[ALMUERZO]]</f>
        <v>2.9166666666666563E-2</v>
      </c>
      <c r="V6" s="7">
        <f>+Tabla5383940414243444546[[#This Row],[TERMINO ACTIVIDADES PM]]-Tabla5383940414243444546[[#This Row],[INICIO ACTIVIDADES PM]]</f>
        <v>0.11111111111111138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99</v>
      </c>
      <c r="B7" s="12" t="s">
        <v>38</v>
      </c>
      <c r="C7" s="4">
        <f>+Tabla5[[#This Row],[FECHA]]</f>
        <v>44828</v>
      </c>
      <c r="D7" s="37">
        <v>0.31180555555555556</v>
      </c>
      <c r="E7" s="37">
        <v>0.3298611111111111</v>
      </c>
      <c r="F7" s="37">
        <v>0.35416666666666669</v>
      </c>
      <c r="G7" s="37">
        <v>0.52083333333333337</v>
      </c>
      <c r="H7" s="37">
        <v>0.52986111111111112</v>
      </c>
      <c r="I7" s="37">
        <v>0.56805555555555554</v>
      </c>
      <c r="J7" s="46">
        <v>0.65277777777777801</v>
      </c>
      <c r="K7" s="47"/>
      <c r="M7" s="5"/>
      <c r="N7" s="5" t="s">
        <v>18</v>
      </c>
      <c r="O7" s="4">
        <f>Tabla5383940414243444546[[#This Row],[FECHA]]</f>
        <v>44828</v>
      </c>
      <c r="P7" s="7">
        <f>D7</f>
        <v>0.31180555555555556</v>
      </c>
      <c r="Q7" s="7">
        <f t="shared" si="0"/>
        <v>1.8055555555555547E-2</v>
      </c>
      <c r="R7" s="7">
        <f t="shared" si="0"/>
        <v>2.430555555555558E-2</v>
      </c>
      <c r="S7" s="7">
        <f t="shared" si="0"/>
        <v>0.16666666666666669</v>
      </c>
      <c r="T7" s="7">
        <f>+Tabla5383940414243444546[[#This Row],[ALMUERZO]]-Tabla5383940414243444546[[#This Row],[TERMINO ACT. AM]]</f>
        <v>9.0277777777777457E-3</v>
      </c>
      <c r="U7" s="7">
        <f>+Tabla5383940414243444546[[#This Row],[INICIO ACTIVIDADES PM]]-Tabla5383940414243444546[[#This Row],[ALMUERZO]]</f>
        <v>3.819444444444442E-2</v>
      </c>
      <c r="V7" s="7">
        <f>+Tabla5383940414243444546[[#This Row],[TERMINO ACTIVIDADES PM]]-Tabla5383940414243444546[[#This Row],[INICIO ACTIVIDADES PM]]</f>
        <v>8.4722222222222476E-2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37"/>
      <c r="D9" s="37"/>
      <c r="E9" s="37"/>
      <c r="F9" s="37"/>
      <c r="G9" s="37"/>
      <c r="H9" s="37"/>
      <c r="I9" s="46"/>
      <c r="J9" s="11"/>
      <c r="K9" s="38"/>
      <c r="M9" s="5">
        <f>Tabla5383940414243444546[[#This Row],[Columna1]]</f>
        <v>0</v>
      </c>
      <c r="N9" s="5"/>
      <c r="O9" s="4"/>
      <c r="P9" s="7"/>
      <c r="Z9" s="3"/>
      <c r="AA9" s="3"/>
      <c r="AB9" s="3"/>
      <c r="AC9" s="3"/>
    </row>
    <row r="10" spans="1:29" x14ac:dyDescent="0.25">
      <c r="A10" s="40"/>
      <c r="B10" s="40"/>
      <c r="C10" s="37"/>
      <c r="D10" s="37"/>
      <c r="E10" s="37"/>
      <c r="F10" s="37"/>
      <c r="G10" s="37"/>
      <c r="H10" s="37"/>
      <c r="I10" s="46"/>
      <c r="J10" s="40"/>
      <c r="K10" s="38"/>
      <c r="M10" s="18"/>
      <c r="N10" s="5"/>
      <c r="O10" s="4"/>
      <c r="P10" s="7"/>
      <c r="Z10" s="3"/>
      <c r="AA10" s="3"/>
      <c r="AB10" s="3"/>
      <c r="AC10" s="3"/>
    </row>
    <row r="11" spans="1:29" x14ac:dyDescent="0.25">
      <c r="A11" s="40"/>
      <c r="B11" s="40"/>
      <c r="C11" s="37"/>
      <c r="D11" s="37"/>
      <c r="E11" s="37"/>
      <c r="F11" s="37"/>
      <c r="G11" s="37"/>
      <c r="H11" s="37"/>
      <c r="I11" s="46"/>
      <c r="J11" s="40"/>
      <c r="K11" s="38"/>
      <c r="M11" s="5"/>
      <c r="N11" s="5"/>
      <c r="O11" s="4"/>
      <c r="P11" s="7"/>
      <c r="Z11" s="3"/>
      <c r="AA11" s="3"/>
      <c r="AB11" s="3"/>
      <c r="AC11" s="3"/>
    </row>
    <row r="12" spans="1:29" x14ac:dyDescent="0.25">
      <c r="A12" s="11"/>
      <c r="B12" s="11"/>
      <c r="C12" s="37"/>
      <c r="D12" s="37"/>
      <c r="E12" s="37"/>
      <c r="F12" s="37"/>
      <c r="G12" s="37"/>
      <c r="H12" s="37"/>
      <c r="I12" s="46"/>
      <c r="J12" s="11"/>
      <c r="K12" s="38"/>
      <c r="M12" s="5"/>
      <c r="N12" s="5"/>
      <c r="O12" s="4"/>
      <c r="P12" s="7"/>
      <c r="Z12" s="3"/>
      <c r="AA12" s="3"/>
      <c r="AB12" s="3"/>
      <c r="AC12" s="3"/>
    </row>
    <row r="13" spans="1:29" ht="16.5" thickBot="1" x14ac:dyDescent="0.3">
      <c r="A13" s="12"/>
      <c r="B13" s="12"/>
      <c r="C13" s="37"/>
      <c r="D13" s="37"/>
      <c r="E13" s="37"/>
      <c r="F13" s="37"/>
      <c r="G13" s="37"/>
      <c r="H13" s="37"/>
      <c r="I13" s="46"/>
      <c r="J13" s="10"/>
      <c r="K13" s="56"/>
      <c r="M13" s="5"/>
      <c r="N13" s="5"/>
      <c r="O13" s="4"/>
      <c r="P13" s="7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88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0.26597222222222222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0.26180555555555585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0.26944444444444471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0.25138888888888916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0.26215277777777801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1.048611111111112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78" t="s">
        <v>105</v>
      </c>
      <c r="J27" s="179" t="s">
        <v>103</v>
      </c>
      <c r="T27" s="3"/>
    </row>
    <row r="28" spans="1:20" ht="15.6" customHeight="1" x14ac:dyDescent="0.25">
      <c r="I28" s="178"/>
      <c r="J28" s="180"/>
      <c r="T28" s="3"/>
    </row>
    <row r="29" spans="1:20" ht="15.6" customHeight="1" x14ac:dyDescent="0.25">
      <c r="I29" s="178"/>
      <c r="J29" s="180"/>
      <c r="T29" s="3"/>
    </row>
    <row r="30" spans="1:20" ht="15.6" customHeight="1" x14ac:dyDescent="0.25">
      <c r="I30" s="178"/>
      <c r="J30" s="181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P19"/>
  <sheetViews>
    <sheetView zoomScale="70" zoomScaleNormal="70" workbookViewId="0">
      <selection activeCell="C5" sqref="C5:C14"/>
    </sheetView>
  </sheetViews>
  <sheetFormatPr baseColWidth="10" defaultRowHeight="15.75" x14ac:dyDescent="0.25"/>
  <cols>
    <col min="2" max="2" width="22.625" customWidth="1"/>
    <col min="6" max="6" width="15.125" bestFit="1" customWidth="1"/>
    <col min="7" max="7" width="13.375" bestFit="1" customWidth="1"/>
    <col min="16" max="16" width="52.5" customWidth="1"/>
  </cols>
  <sheetData>
    <row r="1" spans="2:16" ht="16.5" thickBot="1" x14ac:dyDescent="0.3"/>
    <row r="2" spans="2:16" x14ac:dyDescent="0.25">
      <c r="B2" s="70" t="s">
        <v>65</v>
      </c>
      <c r="C2" s="71">
        <f>+'TTE 7'!G21</f>
        <v>0.25086805555555525</v>
      </c>
      <c r="D2" s="69">
        <f t="shared" ref="D2:D9" si="0">+C2/$C$17</f>
        <v>1.003472222222221</v>
      </c>
      <c r="F2" s="79"/>
    </row>
    <row r="3" spans="2:16" x14ac:dyDescent="0.25">
      <c r="B3" s="72" t="s">
        <v>56</v>
      </c>
      <c r="C3" s="73">
        <f>+'SUB 6'!G21</f>
        <v>0.24861111111111145</v>
      </c>
      <c r="D3" s="69">
        <f t="shared" si="0"/>
        <v>0.9944444444444458</v>
      </c>
      <c r="F3" s="79"/>
    </row>
    <row r="4" spans="2:16" x14ac:dyDescent="0.25">
      <c r="B4" s="72" t="s">
        <v>55</v>
      </c>
      <c r="C4" s="73">
        <f>+'SUB 5'!G21</f>
        <v>0.24427083333333333</v>
      </c>
      <c r="D4" s="69">
        <f t="shared" si="0"/>
        <v>0.9770833333333333</v>
      </c>
      <c r="F4" s="79"/>
    </row>
    <row r="5" spans="2:16" x14ac:dyDescent="0.25">
      <c r="B5" s="72" t="s">
        <v>54</v>
      </c>
      <c r="C5" s="73">
        <f>+'TTE 6 '!G21</f>
        <v>0.24722222222222201</v>
      </c>
      <c r="D5" s="69">
        <f t="shared" si="0"/>
        <v>0.98888888888888804</v>
      </c>
      <c r="F5" s="79"/>
    </row>
    <row r="6" spans="2:16" x14ac:dyDescent="0.25">
      <c r="B6" s="72" t="s">
        <v>58</v>
      </c>
      <c r="C6" s="73">
        <f>+DIABLO!G21</f>
        <v>0.25364583333333324</v>
      </c>
      <c r="D6" s="69">
        <f t="shared" si="0"/>
        <v>1.0145833333333329</v>
      </c>
      <c r="F6" s="79"/>
    </row>
    <row r="7" spans="2:16" x14ac:dyDescent="0.25">
      <c r="B7" s="72" t="s">
        <v>57</v>
      </c>
      <c r="C7" s="73">
        <f>+'PIPA N'!G21</f>
        <v>0.25138888888888888</v>
      </c>
      <c r="D7" s="69">
        <f t="shared" si="0"/>
        <v>1.0055555555555555</v>
      </c>
      <c r="F7" s="79"/>
    </row>
    <row r="8" spans="2:16" x14ac:dyDescent="0.25">
      <c r="B8" s="72" t="s">
        <v>66</v>
      </c>
      <c r="C8" s="73">
        <f>+'CH colon'!G21</f>
        <v>0.26215277777777801</v>
      </c>
      <c r="D8" s="69">
        <f t="shared" si="0"/>
        <v>1.048611111111112</v>
      </c>
      <c r="F8" s="79"/>
    </row>
    <row r="9" spans="2:16" x14ac:dyDescent="0.25">
      <c r="B9" s="74" t="s">
        <v>92</v>
      </c>
      <c r="C9" s="73">
        <f>+Salvataje!G21</f>
        <v>0.24826388888888867</v>
      </c>
      <c r="D9" s="69">
        <f t="shared" si="0"/>
        <v>0.99305555555555469</v>
      </c>
      <c r="F9" s="79"/>
    </row>
    <row r="10" spans="2:16" x14ac:dyDescent="0.25">
      <c r="B10" s="72" t="s">
        <v>64</v>
      </c>
      <c r="C10" s="73">
        <f>+'LA JUNTA'!G21</f>
        <v>0.2888888888888887</v>
      </c>
      <c r="D10" s="69">
        <f>+C10/$C$19</f>
        <v>0.99047619047618973</v>
      </c>
      <c r="F10" s="79"/>
    </row>
    <row r="11" spans="2:16" x14ac:dyDescent="0.25">
      <c r="B11" s="72" t="s">
        <v>62</v>
      </c>
      <c r="C11" s="73">
        <f>+AC!G21</f>
        <v>0.25451388888888893</v>
      </c>
      <c r="D11" s="69">
        <f>+C11/$C$17</f>
        <v>1.0180555555555557</v>
      </c>
      <c r="F11" s="79"/>
      <c r="P11" s="80"/>
    </row>
    <row r="12" spans="2:16" x14ac:dyDescent="0.25">
      <c r="B12" s="72" t="s">
        <v>63</v>
      </c>
      <c r="C12" s="73">
        <f>+Colec!G21</f>
        <v>0.26232638888888909</v>
      </c>
      <c r="D12" s="69">
        <f>+C12/$C$17</f>
        <v>1.0493055555555564</v>
      </c>
      <c r="F12" s="79"/>
    </row>
    <row r="13" spans="2:16" x14ac:dyDescent="0.25">
      <c r="B13" s="72" t="s">
        <v>61</v>
      </c>
      <c r="C13" s="73">
        <f>+'P M'!G21</f>
        <v>0.26180555555555568</v>
      </c>
      <c r="D13" s="69">
        <f>+C13/$C$17</f>
        <v>1.0472222222222227</v>
      </c>
      <c r="F13" s="79"/>
    </row>
    <row r="14" spans="2:16" x14ac:dyDescent="0.25">
      <c r="B14" s="72" t="s">
        <v>60</v>
      </c>
      <c r="C14" s="73">
        <f>+'Vent '!G21</f>
        <v>0.25312500000000004</v>
      </c>
      <c r="D14" s="69">
        <f>+C14/$C$17</f>
        <v>1.0125000000000002</v>
      </c>
      <c r="F14" s="79"/>
    </row>
    <row r="15" spans="2:16" x14ac:dyDescent="0.25">
      <c r="B15" s="72" t="s">
        <v>59</v>
      </c>
      <c r="C15" s="73">
        <f>+ACCU!G21</f>
        <v>0.44041666666666651</v>
      </c>
      <c r="D15" s="69">
        <f>+C15/$C$18</f>
        <v>1.0396721311475405</v>
      </c>
      <c r="F15" s="79"/>
    </row>
    <row r="16" spans="2:16" x14ac:dyDescent="0.25">
      <c r="B16" s="72" t="s">
        <v>51</v>
      </c>
      <c r="C16" s="73">
        <f>AVERAGE(C2:C15)</f>
        <v>0.26910714285714288</v>
      </c>
    </row>
    <row r="17" spans="2:4" x14ac:dyDescent="0.25">
      <c r="B17" s="72" t="s">
        <v>52</v>
      </c>
      <c r="C17" s="73">
        <v>0.25</v>
      </c>
      <c r="D17" s="55">
        <f>+AVERAGE(D2:D16)</f>
        <v>1.0130661499572506</v>
      </c>
    </row>
    <row r="18" spans="2:4" x14ac:dyDescent="0.25">
      <c r="B18" s="72" t="s">
        <v>75</v>
      </c>
      <c r="C18" s="73">
        <v>0.4236111111111111</v>
      </c>
    </row>
    <row r="19" spans="2:4" ht="16.5" thickBot="1" x14ac:dyDescent="0.3">
      <c r="B19" s="75" t="s">
        <v>76</v>
      </c>
      <c r="C19" s="76">
        <v>0.29166666666666669</v>
      </c>
    </row>
  </sheetData>
  <pageMargins left="0.7" right="0.7" top="0.75" bottom="0.75" header="0.3" footer="0.3"/>
  <pageSetup orientation="portrait" horizontalDpi="4294967293" verticalDpi="0" r:id="rId1"/>
  <ignoredErrors>
    <ignoredError sqref="D10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Y61"/>
  <sheetViews>
    <sheetView workbookViewId="0">
      <selection activeCell="L19" sqref="L19"/>
    </sheetView>
  </sheetViews>
  <sheetFormatPr baseColWidth="10" defaultRowHeight="15.75" x14ac:dyDescent="0.25"/>
  <cols>
    <col min="1" max="1" width="12.375" customWidth="1"/>
    <col min="2" max="2" width="3" customWidth="1"/>
    <col min="5" max="5" width="3" customWidth="1"/>
    <col min="8" max="8" width="2.75" customWidth="1"/>
    <col min="11" max="11" width="2.625" customWidth="1"/>
    <col min="14" max="14" width="2.75" customWidth="1"/>
    <col min="17" max="17" width="3.25" customWidth="1"/>
    <col min="18" max="19" width="3" customWidth="1"/>
    <col min="20" max="20" width="3.25" customWidth="1"/>
    <col min="21" max="21" width="3" customWidth="1"/>
    <col min="22" max="22" width="2.875" customWidth="1"/>
    <col min="23" max="23" width="3.25" customWidth="1"/>
  </cols>
  <sheetData>
    <row r="2" spans="1:25" x14ac:dyDescent="0.25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ht="16.5" thickBot="1" x14ac:dyDescent="0.3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</row>
    <row r="4" spans="1:25" ht="17.25" thickTop="1" thickBot="1" x14ac:dyDescent="0.3">
      <c r="A4" s="87" t="s">
        <v>106</v>
      </c>
      <c r="B4" s="194">
        <f>+'TTE 6 '!C3</f>
        <v>44824</v>
      </c>
      <c r="C4" s="195"/>
      <c r="D4" s="195"/>
      <c r="E4" s="185">
        <f>+'TTE 6 '!C4</f>
        <v>44825</v>
      </c>
      <c r="F4" s="186"/>
      <c r="G4" s="186"/>
      <c r="H4" s="196">
        <f>+'TTE 6 '!C5</f>
        <v>44826</v>
      </c>
      <c r="I4" s="197"/>
      <c r="J4" s="198"/>
      <c r="K4" s="185">
        <f>+'TTE 6 '!C6</f>
        <v>44827</v>
      </c>
      <c r="L4" s="186"/>
      <c r="M4" s="186"/>
      <c r="N4" s="187">
        <f>+'TTE 6 '!C7</f>
        <v>44828</v>
      </c>
      <c r="O4" s="188"/>
      <c r="P4" s="189"/>
      <c r="Q4" s="185">
        <f>+'TTE 6 '!C8</f>
        <v>44829</v>
      </c>
      <c r="R4" s="186"/>
      <c r="S4" s="186"/>
      <c r="T4" s="187">
        <f>+'TTE 6 '!C9</f>
        <v>44830</v>
      </c>
      <c r="U4" s="188"/>
      <c r="V4" s="190"/>
      <c r="W4" s="191" t="s">
        <v>107</v>
      </c>
      <c r="X4" s="192"/>
      <c r="Y4" s="193"/>
    </row>
    <row r="5" spans="1:25" ht="16.5" thickBot="1" x14ac:dyDescent="0.3">
      <c r="A5" s="88"/>
      <c r="B5" s="144" t="s">
        <v>108</v>
      </c>
      <c r="C5" s="145" t="s">
        <v>103</v>
      </c>
      <c r="D5" s="146" t="s">
        <v>104</v>
      </c>
      <c r="E5" s="89" t="s">
        <v>108</v>
      </c>
      <c r="F5" s="90" t="s">
        <v>103</v>
      </c>
      <c r="G5" s="91" t="s">
        <v>104</v>
      </c>
      <c r="H5" s="144" t="s">
        <v>108</v>
      </c>
      <c r="I5" s="145" t="s">
        <v>103</v>
      </c>
      <c r="J5" s="146" t="s">
        <v>104</v>
      </c>
      <c r="K5" s="89" t="s">
        <v>108</v>
      </c>
      <c r="L5" s="90" t="s">
        <v>103</v>
      </c>
      <c r="M5" s="91" t="s">
        <v>104</v>
      </c>
      <c r="N5" s="89" t="s">
        <v>108</v>
      </c>
      <c r="O5" s="90" t="s">
        <v>103</v>
      </c>
      <c r="P5" s="91" t="s">
        <v>104</v>
      </c>
      <c r="Q5" s="89" t="s">
        <v>108</v>
      </c>
      <c r="R5" s="90" t="s">
        <v>103</v>
      </c>
      <c r="S5" s="91" t="s">
        <v>104</v>
      </c>
      <c r="T5" s="89" t="s">
        <v>108</v>
      </c>
      <c r="U5" s="90" t="s">
        <v>103</v>
      </c>
      <c r="V5" s="92" t="s">
        <v>104</v>
      </c>
      <c r="W5" s="93" t="s">
        <v>108</v>
      </c>
      <c r="X5" s="90" t="s">
        <v>103</v>
      </c>
      <c r="Y5" s="94" t="s">
        <v>104</v>
      </c>
    </row>
    <row r="6" spans="1:25" ht="16.5" thickBot="1" x14ac:dyDescent="0.3">
      <c r="A6" s="95" t="s">
        <v>109</v>
      </c>
      <c r="B6" s="182" t="s">
        <v>110</v>
      </c>
      <c r="C6" s="183"/>
      <c r="D6" s="184"/>
      <c r="E6" s="182" t="s">
        <v>110</v>
      </c>
      <c r="F6" s="183"/>
      <c r="G6" s="184"/>
      <c r="H6" s="182" t="s">
        <v>110</v>
      </c>
      <c r="I6" s="183"/>
      <c r="J6" s="184"/>
      <c r="K6" s="182" t="s">
        <v>110</v>
      </c>
      <c r="L6" s="183"/>
      <c r="M6" s="184"/>
      <c r="N6" s="182" t="s">
        <v>110</v>
      </c>
      <c r="O6" s="183"/>
      <c r="P6" s="184"/>
      <c r="Q6" s="182" t="s">
        <v>110</v>
      </c>
      <c r="R6" s="183"/>
      <c r="S6" s="184"/>
      <c r="T6" s="182" t="s">
        <v>110</v>
      </c>
      <c r="U6" s="183"/>
      <c r="V6" s="183"/>
      <c r="W6" s="199" t="s">
        <v>110</v>
      </c>
      <c r="X6" s="183"/>
      <c r="Y6" s="200"/>
    </row>
    <row r="7" spans="1:25" x14ac:dyDescent="0.25">
      <c r="A7" s="96" t="s">
        <v>111</v>
      </c>
      <c r="B7" s="117"/>
      <c r="C7" s="118"/>
      <c r="D7" s="118">
        <f>+'TTE 7'!D3</f>
        <v>0</v>
      </c>
      <c r="E7" s="97"/>
      <c r="F7" s="143"/>
      <c r="G7" s="143">
        <f>+'TTE 7'!D4</f>
        <v>0.67361111111111116</v>
      </c>
      <c r="H7" s="117"/>
      <c r="I7" s="174"/>
      <c r="J7" s="174">
        <f>+'TTE 7'!D5</f>
        <v>0.67708333333333337</v>
      </c>
      <c r="K7" s="97"/>
      <c r="L7" s="143"/>
      <c r="M7" s="143">
        <f>+'TTE 7'!D6</f>
        <v>0.67361111111111105</v>
      </c>
      <c r="N7" s="97"/>
      <c r="O7" s="143"/>
      <c r="P7" s="143">
        <f>+'TTE 7'!D7</f>
        <v>0.67361111111111105</v>
      </c>
      <c r="Q7" s="97"/>
      <c r="R7" s="100"/>
      <c r="S7" s="101"/>
      <c r="T7" s="97"/>
      <c r="U7" s="100"/>
      <c r="V7" s="102"/>
      <c r="W7" s="103" t="str">
        <f t="shared" ref="W7:Y9" si="0">IFERROR(AVERAGE(B7,E7,H7,K7,N7,Q7,T7),"")</f>
        <v/>
      </c>
      <c r="X7" s="104" t="str">
        <f t="shared" si="0"/>
        <v/>
      </c>
      <c r="Y7" s="104">
        <f t="shared" si="0"/>
        <v>0.53958333333333341</v>
      </c>
    </row>
    <row r="8" spans="1:25" x14ac:dyDescent="0.25">
      <c r="A8" s="96" t="s">
        <v>112</v>
      </c>
      <c r="B8" s="117"/>
      <c r="C8" s="118"/>
      <c r="D8" s="118">
        <f>+'TTE 7'!J3</f>
        <v>0</v>
      </c>
      <c r="E8" s="97"/>
      <c r="F8" s="98"/>
      <c r="G8" s="98">
        <f>+'TTE 7'!J4</f>
        <v>0.99305555555555547</v>
      </c>
      <c r="H8" s="117"/>
      <c r="I8" s="118"/>
      <c r="J8" s="118">
        <f>+'TTE 7'!J5</f>
        <v>0.99305555555555547</v>
      </c>
      <c r="K8" s="97"/>
      <c r="L8" s="98"/>
      <c r="M8" s="98">
        <f>+'TTE 7'!J6</f>
        <v>0.99305555555555503</v>
      </c>
      <c r="N8" s="97"/>
      <c r="O8" s="98"/>
      <c r="P8" s="98">
        <f>+'TTE 7'!J7</f>
        <v>0.99305555555555503</v>
      </c>
      <c r="Q8" s="97"/>
      <c r="R8" s="100"/>
      <c r="S8" s="101"/>
      <c r="T8" s="97"/>
      <c r="U8" s="100"/>
      <c r="V8" s="102"/>
      <c r="W8" s="106" t="str">
        <f t="shared" si="0"/>
        <v/>
      </c>
      <c r="X8" s="107" t="str">
        <f t="shared" si="0"/>
        <v/>
      </c>
      <c r="Y8" s="107">
        <f t="shared" si="0"/>
        <v>0.79444444444444418</v>
      </c>
    </row>
    <row r="9" spans="1:25" ht="16.5" thickBot="1" x14ac:dyDescent="0.3">
      <c r="A9" s="109" t="s">
        <v>113</v>
      </c>
      <c r="B9" s="127"/>
      <c r="C9" s="119"/>
      <c r="D9" s="119">
        <f>+'TTE 7'!G16</f>
        <v>0</v>
      </c>
      <c r="E9" s="110"/>
      <c r="F9" s="139"/>
      <c r="G9" s="139">
        <f>+'TTE 7'!G17</f>
        <v>0.25</v>
      </c>
      <c r="H9" s="127"/>
      <c r="I9" s="128"/>
      <c r="J9" s="128">
        <f>+'TTE 7'!G18</f>
        <v>0.25138888888888877</v>
      </c>
      <c r="K9" s="110"/>
      <c r="L9" s="139"/>
      <c r="M9" s="139">
        <f>+'TTE 7'!G19</f>
        <v>0.25208333333333277</v>
      </c>
      <c r="N9" s="110"/>
      <c r="O9" s="139"/>
      <c r="P9" s="139">
        <f>+'TTE 7'!G20</f>
        <v>0.24999999999999944</v>
      </c>
      <c r="Q9" s="110"/>
      <c r="R9" s="111"/>
      <c r="S9" s="112"/>
      <c r="T9" s="110"/>
      <c r="U9" s="111"/>
      <c r="V9" s="113"/>
      <c r="W9" s="114" t="str">
        <f t="shared" si="0"/>
        <v/>
      </c>
      <c r="X9" s="115" t="str">
        <f t="shared" si="0"/>
        <v/>
      </c>
      <c r="Y9" s="115">
        <f t="shared" si="0"/>
        <v>0.2006944444444442</v>
      </c>
    </row>
    <row r="10" spans="1:25" ht="16.5" thickBot="1" x14ac:dyDescent="0.3">
      <c r="A10" s="95" t="s">
        <v>114</v>
      </c>
      <c r="B10" s="182" t="s">
        <v>110</v>
      </c>
      <c r="C10" s="183"/>
      <c r="D10" s="184"/>
      <c r="E10" s="182" t="s">
        <v>110</v>
      </c>
      <c r="F10" s="183"/>
      <c r="G10" s="184"/>
      <c r="H10" s="182" t="s">
        <v>110</v>
      </c>
      <c r="I10" s="183"/>
      <c r="J10" s="184"/>
      <c r="K10" s="182" t="s">
        <v>110</v>
      </c>
      <c r="L10" s="183"/>
      <c r="M10" s="184"/>
      <c r="N10" s="182" t="s">
        <v>110</v>
      </c>
      <c r="O10" s="183"/>
      <c r="P10" s="184"/>
      <c r="Q10" s="182" t="s">
        <v>110</v>
      </c>
      <c r="R10" s="183"/>
      <c r="S10" s="184"/>
      <c r="T10" s="182" t="s">
        <v>110</v>
      </c>
      <c r="U10" s="183"/>
      <c r="V10" s="183"/>
      <c r="W10" s="199" t="s">
        <v>110</v>
      </c>
      <c r="X10" s="183"/>
      <c r="Y10" s="200"/>
    </row>
    <row r="11" spans="1:25" x14ac:dyDescent="0.25">
      <c r="A11" s="96" t="s">
        <v>111</v>
      </c>
      <c r="B11" s="117"/>
      <c r="C11" s="118">
        <f>+'SUB 6'!D3</f>
        <v>0</v>
      </c>
      <c r="D11" s="118"/>
      <c r="E11" s="97"/>
      <c r="F11" s="98">
        <f>+'SUB 6'!D4</f>
        <v>0.33680555555555558</v>
      </c>
      <c r="G11" s="98"/>
      <c r="H11" s="117"/>
      <c r="I11" s="118">
        <f>+'SUB 6'!D5</f>
        <v>0.33680555555555558</v>
      </c>
      <c r="J11" s="118"/>
      <c r="K11" s="97"/>
      <c r="L11" s="98">
        <f>+'SUB 6'!D6</f>
        <v>0.34027777777777773</v>
      </c>
      <c r="M11" s="98"/>
      <c r="N11" s="97"/>
      <c r="O11" s="98">
        <f>+'SUB 6'!D7</f>
        <v>0.33680555555555558</v>
      </c>
      <c r="P11" s="98"/>
      <c r="Q11" s="97"/>
      <c r="R11" s="100"/>
      <c r="S11" s="101"/>
      <c r="T11" s="97"/>
      <c r="U11" s="100"/>
      <c r="V11" s="102"/>
      <c r="W11" s="103" t="str">
        <f>IFERROR(AVERAGE(B11,E11,H11,K11,N11,Q11,T11),"")</f>
        <v/>
      </c>
      <c r="X11" s="104">
        <f>IFERROR(AVERAGE(C11,F11,I11,L11,O11,R11,U11),"")</f>
        <v>0.27013888888888887</v>
      </c>
      <c r="Y11" s="151" t="str">
        <f>IFERROR(AVERAGE(D11,G11,J11,M11,P11,S11,V11),"")</f>
        <v/>
      </c>
    </row>
    <row r="12" spans="1:25" x14ac:dyDescent="0.25">
      <c r="A12" s="96" t="s">
        <v>112</v>
      </c>
      <c r="B12" s="117"/>
      <c r="C12" s="118">
        <f>+'SUB 6'!J3</f>
        <v>0</v>
      </c>
      <c r="D12" s="118"/>
      <c r="E12" s="97"/>
      <c r="F12" s="98">
        <f>+'SUB 6'!J4</f>
        <v>0.65972222222222221</v>
      </c>
      <c r="G12" s="98"/>
      <c r="H12" s="117"/>
      <c r="I12" s="118">
        <f>+'SUB 6'!J5</f>
        <v>0.65972222222222221</v>
      </c>
      <c r="J12" s="118"/>
      <c r="K12" s="97"/>
      <c r="L12" s="98">
        <f>+'SUB 6'!J6</f>
        <v>0.65972222222222299</v>
      </c>
      <c r="M12" s="98"/>
      <c r="N12" s="97"/>
      <c r="O12" s="98">
        <f>+'SUB 6'!J7</f>
        <v>0.65972222222222299</v>
      </c>
      <c r="P12" s="98"/>
      <c r="Q12" s="97"/>
      <c r="R12" s="100"/>
      <c r="S12" s="101"/>
      <c r="T12" s="97"/>
      <c r="U12" s="100"/>
      <c r="V12" s="102"/>
      <c r="W12" s="106" t="str">
        <f>IFERROR(AVERAGE(B12,E12,H12,K12,N12,Q12,T12),"")</f>
        <v/>
      </c>
      <c r="X12" s="107">
        <f t="shared" ref="X12:Y13" si="1">IFERROR(AVERAGE(C12,F12,I12,L12,O12,R12,U12),"")</f>
        <v>0.52777777777777801</v>
      </c>
      <c r="Y12" s="152" t="str">
        <f t="shared" si="1"/>
        <v/>
      </c>
    </row>
    <row r="13" spans="1:25" ht="16.5" thickBot="1" x14ac:dyDescent="0.3">
      <c r="A13" s="109" t="s">
        <v>113</v>
      </c>
      <c r="B13" s="127"/>
      <c r="C13" s="118">
        <f>+'SUB 6'!G16</f>
        <v>0</v>
      </c>
      <c r="D13" s="118"/>
      <c r="E13" s="110"/>
      <c r="F13" s="98">
        <f>+'SUB 6'!G17</f>
        <v>0.24305555555555547</v>
      </c>
      <c r="G13" s="98"/>
      <c r="H13" s="127"/>
      <c r="I13" s="118">
        <f>+'SUB 6'!G18</f>
        <v>0.24722222222222218</v>
      </c>
      <c r="J13" s="118"/>
      <c r="K13" s="110"/>
      <c r="L13" s="98">
        <f>+'SUB 6'!G19</f>
        <v>0.25416666666666737</v>
      </c>
      <c r="M13" s="98"/>
      <c r="N13" s="110"/>
      <c r="O13" s="98">
        <f>+'SUB 6'!G20</f>
        <v>0.25000000000000072</v>
      </c>
      <c r="P13" s="98"/>
      <c r="Q13" s="110"/>
      <c r="R13" s="111"/>
      <c r="S13" s="112"/>
      <c r="T13" s="110"/>
      <c r="U13" s="111"/>
      <c r="V13" s="113"/>
      <c r="W13" s="114" t="str">
        <f>IFERROR(AVERAGE(B13,E13,H13,K13,N13,Q13,T13),"")</f>
        <v/>
      </c>
      <c r="X13" s="115">
        <f t="shared" si="1"/>
        <v>0.19888888888888917</v>
      </c>
      <c r="Y13" s="153" t="str">
        <f t="shared" si="1"/>
        <v/>
      </c>
    </row>
    <row r="14" spans="1:25" ht="16.5" thickBot="1" x14ac:dyDescent="0.3">
      <c r="A14" s="95" t="s">
        <v>115</v>
      </c>
      <c r="B14" s="182" t="s">
        <v>110</v>
      </c>
      <c r="C14" s="183"/>
      <c r="D14" s="184"/>
      <c r="E14" s="182" t="s">
        <v>110</v>
      </c>
      <c r="F14" s="183"/>
      <c r="G14" s="184"/>
      <c r="H14" s="182" t="s">
        <v>110</v>
      </c>
      <c r="I14" s="183"/>
      <c r="J14" s="184"/>
      <c r="K14" s="182" t="s">
        <v>110</v>
      </c>
      <c r="L14" s="183"/>
      <c r="M14" s="184"/>
      <c r="N14" s="182" t="s">
        <v>110</v>
      </c>
      <c r="O14" s="183"/>
      <c r="P14" s="184"/>
      <c r="Q14" s="182" t="s">
        <v>110</v>
      </c>
      <c r="R14" s="183"/>
      <c r="S14" s="184"/>
      <c r="T14" s="182" t="s">
        <v>110</v>
      </c>
      <c r="U14" s="183"/>
      <c r="V14" s="183"/>
      <c r="W14" s="199" t="s">
        <v>110</v>
      </c>
      <c r="X14" s="183"/>
      <c r="Y14" s="200"/>
    </row>
    <row r="15" spans="1:25" x14ac:dyDescent="0.25">
      <c r="A15" s="96" t="s">
        <v>111</v>
      </c>
      <c r="B15" s="117"/>
      <c r="C15" s="119">
        <f>+'SUB 5'!D3</f>
        <v>0</v>
      </c>
      <c r="D15" s="119"/>
      <c r="E15" s="117"/>
      <c r="F15" s="118">
        <f>+'SUB 5'!D4</f>
        <v>0.68958333333333333</v>
      </c>
      <c r="G15" s="118"/>
      <c r="H15" s="117"/>
      <c r="I15" s="118">
        <f>+'SUB 5'!D5</f>
        <v>0.68402777777777779</v>
      </c>
      <c r="J15" s="118"/>
      <c r="K15" s="117"/>
      <c r="L15" s="118">
        <f>+'SUB 5'!D6</f>
        <v>0.68402777777777779</v>
      </c>
      <c r="M15" s="118"/>
      <c r="N15" s="117"/>
      <c r="O15" s="118">
        <f>+'SUB 5'!D7</f>
        <v>0.68541666666666667</v>
      </c>
      <c r="P15" s="118"/>
      <c r="Q15" s="117"/>
      <c r="R15" s="120"/>
      <c r="S15" s="121"/>
      <c r="T15" s="117"/>
      <c r="U15" s="120"/>
      <c r="V15" s="122"/>
      <c r="W15" s="123" t="str">
        <f>IFERROR(AVERAGE(B15,E15,H15,K15,N15,Q15,T15),"")</f>
        <v/>
      </c>
      <c r="X15" s="124">
        <f t="shared" ref="X15:Y17" si="2">IFERROR(AVERAGE(C15,F15,I15,L15,O15,R15,U15),"")</f>
        <v>0.54861111111111116</v>
      </c>
      <c r="Y15" s="148" t="str">
        <f t="shared" si="2"/>
        <v/>
      </c>
    </row>
    <row r="16" spans="1:25" x14ac:dyDescent="0.25">
      <c r="A16" s="96" t="s">
        <v>112</v>
      </c>
      <c r="B16" s="117"/>
      <c r="C16" s="119">
        <f>+'SUB 5'!J3</f>
        <v>0</v>
      </c>
      <c r="D16" s="119"/>
      <c r="E16" s="117"/>
      <c r="F16" s="118">
        <f>+'SUB 5'!J4</f>
        <v>0.99305555555555547</v>
      </c>
      <c r="G16" s="118"/>
      <c r="H16" s="117"/>
      <c r="I16" s="118">
        <f>+'SUB 5'!J5</f>
        <v>0.99305555555555547</v>
      </c>
      <c r="J16" s="118"/>
      <c r="K16" s="117"/>
      <c r="L16" s="118">
        <f>+'SUB 5'!J6</f>
        <v>0.99305555555555547</v>
      </c>
      <c r="M16" s="118"/>
      <c r="N16" s="117"/>
      <c r="O16" s="118">
        <f>+'SUB 5'!J7</f>
        <v>0.99305555555555547</v>
      </c>
      <c r="P16" s="118"/>
      <c r="Q16" s="117"/>
      <c r="R16" s="120"/>
      <c r="S16" s="121"/>
      <c r="T16" s="117"/>
      <c r="U16" s="120"/>
      <c r="V16" s="122"/>
      <c r="W16" s="125" t="str">
        <f>IFERROR(AVERAGE(B16,E16,H16,K16,N16,Q16,T16),"")</f>
        <v/>
      </c>
      <c r="X16" s="126">
        <f t="shared" si="2"/>
        <v>0.7944444444444444</v>
      </c>
      <c r="Y16" s="149" t="str">
        <f t="shared" si="2"/>
        <v/>
      </c>
    </row>
    <row r="17" spans="1:25" ht="16.5" thickBot="1" x14ac:dyDescent="0.3">
      <c r="A17" s="109" t="s">
        <v>113</v>
      </c>
      <c r="B17" s="127"/>
      <c r="C17" s="119">
        <f>+'SUB 5'!G16</f>
        <v>0</v>
      </c>
      <c r="D17" s="119"/>
      <c r="E17" s="127"/>
      <c r="F17" s="118">
        <f>+'SUB 5'!G17</f>
        <v>0.24375000000000002</v>
      </c>
      <c r="G17" s="118"/>
      <c r="H17" s="127"/>
      <c r="I17" s="118">
        <f>+'SUB 5'!G18</f>
        <v>0.24861111111111123</v>
      </c>
      <c r="J17" s="118"/>
      <c r="K17" s="127"/>
      <c r="L17" s="118">
        <f>+'SUB 5'!G19</f>
        <v>0.23958333333333326</v>
      </c>
      <c r="M17" s="118"/>
      <c r="N17" s="127"/>
      <c r="O17" s="118">
        <f>+'SUB 5'!G20</f>
        <v>0.2451388888888888</v>
      </c>
      <c r="P17" s="118"/>
      <c r="Q17" s="127"/>
      <c r="R17" s="129"/>
      <c r="S17" s="130"/>
      <c r="T17" s="127"/>
      <c r="U17" s="129"/>
      <c r="V17" s="131"/>
      <c r="W17" s="132" t="str">
        <f>IFERROR(AVERAGE(B17,E17,H17,K17,N17,Q17,T17),"")</f>
        <v/>
      </c>
      <c r="X17" s="133">
        <f t="shared" si="2"/>
        <v>0.19541666666666666</v>
      </c>
      <c r="Y17" s="150" t="str">
        <f t="shared" si="2"/>
        <v/>
      </c>
    </row>
    <row r="18" spans="1:25" ht="16.5" thickBot="1" x14ac:dyDescent="0.3">
      <c r="A18" s="95" t="s">
        <v>116</v>
      </c>
      <c r="B18" s="182" t="s">
        <v>110</v>
      </c>
      <c r="C18" s="183"/>
      <c r="D18" s="184"/>
      <c r="E18" s="182" t="s">
        <v>110</v>
      </c>
      <c r="F18" s="183"/>
      <c r="G18" s="184"/>
      <c r="H18" s="182" t="s">
        <v>110</v>
      </c>
      <c r="I18" s="183"/>
      <c r="J18" s="184"/>
      <c r="K18" s="182" t="s">
        <v>110</v>
      </c>
      <c r="L18" s="183"/>
      <c r="M18" s="184"/>
      <c r="N18" s="182" t="s">
        <v>110</v>
      </c>
      <c r="O18" s="183"/>
      <c r="P18" s="184"/>
      <c r="Q18" s="182" t="s">
        <v>110</v>
      </c>
      <c r="R18" s="183"/>
      <c r="S18" s="184"/>
      <c r="T18" s="182" t="s">
        <v>110</v>
      </c>
      <c r="U18" s="183"/>
      <c r="V18" s="183"/>
      <c r="W18" s="199" t="s">
        <v>110</v>
      </c>
      <c r="X18" s="183"/>
      <c r="Y18" s="200"/>
    </row>
    <row r="19" spans="1:25" x14ac:dyDescent="0.25">
      <c r="A19" s="96" t="s">
        <v>111</v>
      </c>
      <c r="B19" s="117"/>
      <c r="C19" s="118">
        <f>+'TTE 6 '!D3</f>
        <v>0</v>
      </c>
      <c r="D19" s="121"/>
      <c r="E19" s="97"/>
      <c r="F19" s="98">
        <f>+'TTE 6 '!D4</f>
        <v>0.33749999999999997</v>
      </c>
      <c r="G19" s="101"/>
      <c r="H19" s="117"/>
      <c r="I19" s="118">
        <f>+'TTE 6 '!D5</f>
        <v>0.33958333333333335</v>
      </c>
      <c r="J19" s="121"/>
      <c r="K19" s="97"/>
      <c r="L19" s="98">
        <f>+'TTE 6 '!D6</f>
        <v>0.33749999999999997</v>
      </c>
      <c r="M19" s="101"/>
      <c r="N19" s="97"/>
      <c r="O19" s="98">
        <f>+'TTE 6 '!D7</f>
        <v>0.33611111111111108</v>
      </c>
      <c r="P19" s="101"/>
      <c r="Q19" s="97"/>
      <c r="R19" s="100"/>
      <c r="S19" s="101"/>
      <c r="T19" s="97"/>
      <c r="U19" s="100"/>
      <c r="V19" s="102"/>
      <c r="W19" s="103" t="str">
        <f>IFERROR(AVERAGE(B19,E19,H19,K19,N19,Q19,T19),"")</f>
        <v/>
      </c>
      <c r="X19" s="104">
        <f t="shared" ref="X19:Y21" si="3">IFERROR(AVERAGE(C19,F19,I19,L19,O19,R19,U19),"")</f>
        <v>0.27013888888888882</v>
      </c>
      <c r="Y19" s="105" t="str">
        <f t="shared" si="3"/>
        <v/>
      </c>
    </row>
    <row r="20" spans="1:25" x14ac:dyDescent="0.25">
      <c r="A20" s="96" t="s">
        <v>112</v>
      </c>
      <c r="B20" s="117"/>
      <c r="C20" s="118">
        <f>+'TTE 6 '!J3</f>
        <v>0</v>
      </c>
      <c r="D20" s="121"/>
      <c r="E20" s="97"/>
      <c r="F20" s="98">
        <f>+'TTE 6 '!J4</f>
        <v>0.65972222222222199</v>
      </c>
      <c r="G20" s="101"/>
      <c r="H20" s="117"/>
      <c r="I20" s="118">
        <f>+'TTE 6 '!J5</f>
        <v>0.65972222222222199</v>
      </c>
      <c r="J20" s="121"/>
      <c r="K20" s="97"/>
      <c r="L20" s="98">
        <f>+'TTE 6 '!J6</f>
        <v>0.65972222222222199</v>
      </c>
      <c r="M20" s="101"/>
      <c r="N20" s="97"/>
      <c r="O20" s="98">
        <f>+'TTE 6 '!J7</f>
        <v>0.65972222222222221</v>
      </c>
      <c r="P20" s="101"/>
      <c r="Q20" s="97"/>
      <c r="R20" s="100"/>
      <c r="S20" s="101"/>
      <c r="T20" s="97"/>
      <c r="U20" s="100"/>
      <c r="V20" s="102"/>
      <c r="W20" s="106" t="str">
        <f>IFERROR(AVERAGE(B20,E20,H20,K20,N20,Q20,T20),"")</f>
        <v/>
      </c>
      <c r="X20" s="107">
        <f t="shared" si="3"/>
        <v>0.52777777777777768</v>
      </c>
      <c r="Y20" s="108" t="str">
        <f t="shared" si="3"/>
        <v/>
      </c>
    </row>
    <row r="21" spans="1:25" ht="16.5" thickBot="1" x14ac:dyDescent="0.3">
      <c r="A21" s="109" t="s">
        <v>113</v>
      </c>
      <c r="B21" s="127"/>
      <c r="C21" s="118">
        <f>+'TTE 6 '!G16</f>
        <v>0</v>
      </c>
      <c r="D21" s="130"/>
      <c r="E21" s="110"/>
      <c r="F21" s="98">
        <f>+'TTE 6 '!G17</f>
        <v>0.2520833333333331</v>
      </c>
      <c r="G21" s="112"/>
      <c r="H21" s="127"/>
      <c r="I21" s="118">
        <f>+'TTE 6 '!G18</f>
        <v>0.24930555555555522</v>
      </c>
      <c r="J21" s="130"/>
      <c r="K21" s="110"/>
      <c r="L21" s="98">
        <f>+'TTE 6 '!G19</f>
        <v>0.24305555555555536</v>
      </c>
      <c r="M21" s="112"/>
      <c r="N21" s="110"/>
      <c r="O21" s="98">
        <f>+'TTE 6 '!G20</f>
        <v>0.24444444444444435</v>
      </c>
      <c r="P21" s="112"/>
      <c r="Q21" s="110"/>
      <c r="R21" s="111"/>
      <c r="S21" s="112"/>
      <c r="T21" s="110"/>
      <c r="U21" s="111"/>
      <c r="V21" s="113"/>
      <c r="W21" s="114" t="str">
        <f>IFERROR(AVERAGE(B21,E21,H21,K21,N21,Q21,T21),"")</f>
        <v/>
      </c>
      <c r="X21" s="115">
        <f t="shared" si="3"/>
        <v>0.19777777777777761</v>
      </c>
      <c r="Y21" s="116" t="str">
        <f t="shared" si="3"/>
        <v/>
      </c>
    </row>
    <row r="22" spans="1:25" ht="16.5" thickBot="1" x14ac:dyDescent="0.3">
      <c r="A22" s="95" t="s">
        <v>117</v>
      </c>
      <c r="B22" s="182" t="s">
        <v>110</v>
      </c>
      <c r="C22" s="183"/>
      <c r="D22" s="184"/>
      <c r="E22" s="182" t="s">
        <v>110</v>
      </c>
      <c r="F22" s="183"/>
      <c r="G22" s="184"/>
      <c r="H22" s="182" t="s">
        <v>110</v>
      </c>
      <c r="I22" s="183"/>
      <c r="J22" s="184"/>
      <c r="K22" s="182" t="s">
        <v>110</v>
      </c>
      <c r="L22" s="183"/>
      <c r="M22" s="184"/>
      <c r="N22" s="182" t="s">
        <v>110</v>
      </c>
      <c r="O22" s="183"/>
      <c r="P22" s="184"/>
      <c r="Q22" s="182" t="s">
        <v>110</v>
      </c>
      <c r="R22" s="183"/>
      <c r="S22" s="184"/>
      <c r="T22" s="182" t="s">
        <v>110</v>
      </c>
      <c r="U22" s="183"/>
      <c r="V22" s="183"/>
      <c r="W22" s="199" t="s">
        <v>110</v>
      </c>
      <c r="X22" s="183"/>
      <c r="Y22" s="200"/>
    </row>
    <row r="23" spans="1:25" x14ac:dyDescent="0.25">
      <c r="A23" s="96" t="s">
        <v>111</v>
      </c>
      <c r="B23" s="117"/>
      <c r="C23" s="118"/>
      <c r="D23" s="118">
        <f>+DIABLO!D3</f>
        <v>0</v>
      </c>
      <c r="E23" s="97"/>
      <c r="F23" s="98"/>
      <c r="G23" s="98">
        <f>+DIABLO!D4</f>
        <v>0.34027777777777773</v>
      </c>
      <c r="H23" s="117"/>
      <c r="I23" s="118"/>
      <c r="J23" s="118">
        <f>+DIABLO!D5</f>
        <v>0.33888888888888885</v>
      </c>
      <c r="K23" s="97"/>
      <c r="L23" s="98"/>
      <c r="M23" s="98">
        <f>+DIABLO!D6</f>
        <v>0.34375</v>
      </c>
      <c r="N23" s="97"/>
      <c r="O23" s="98"/>
      <c r="P23" s="98">
        <f>+DIABLO!D7</f>
        <v>0.34375</v>
      </c>
      <c r="Q23" s="97"/>
      <c r="R23" s="100"/>
      <c r="S23" s="101"/>
      <c r="T23" s="97"/>
      <c r="U23" s="100"/>
      <c r="V23" s="102"/>
      <c r="W23" s="103" t="str">
        <f t="shared" ref="W23:X25" si="4">IFERROR(AVERAGE(B23,E23,H23,K23,N23,Q23,T23),"")</f>
        <v/>
      </c>
      <c r="X23" s="104" t="str">
        <f t="shared" si="4"/>
        <v/>
      </c>
      <c r="Y23" s="151">
        <f t="shared" ref="Y23:Y25" si="5">IFERROR(AVERAGE(D23,G23,J23,M23,P23,S23,V23),"")</f>
        <v>0.27333333333333332</v>
      </c>
    </row>
    <row r="24" spans="1:25" x14ac:dyDescent="0.25">
      <c r="A24" s="96" t="s">
        <v>112</v>
      </c>
      <c r="B24" s="117"/>
      <c r="C24" s="118"/>
      <c r="D24" s="118">
        <f>+DIABLO!J3</f>
        <v>0</v>
      </c>
      <c r="E24" s="97"/>
      <c r="F24" s="98"/>
      <c r="G24" s="98">
        <f>+DIABLO!D4</f>
        <v>0.34027777777777773</v>
      </c>
      <c r="H24" s="117"/>
      <c r="I24" s="118"/>
      <c r="J24" s="118">
        <f>+DIABLO!J5</f>
        <v>0.65972222222222221</v>
      </c>
      <c r="K24" s="97"/>
      <c r="L24" s="98"/>
      <c r="M24" s="98">
        <f>+DIABLO!J6</f>
        <v>0.65972222222222221</v>
      </c>
      <c r="N24" s="97"/>
      <c r="O24" s="98"/>
      <c r="P24" s="98">
        <f>+DIABLO!J7</f>
        <v>0.65972222222222221</v>
      </c>
      <c r="Q24" s="97"/>
      <c r="R24" s="100"/>
      <c r="S24" s="101"/>
      <c r="T24" s="97"/>
      <c r="U24" s="100"/>
      <c r="V24" s="102"/>
      <c r="W24" s="106" t="str">
        <f t="shared" si="4"/>
        <v/>
      </c>
      <c r="X24" s="107" t="str">
        <f t="shared" si="4"/>
        <v/>
      </c>
      <c r="Y24" s="152">
        <f t="shared" si="5"/>
        <v>0.46388888888888891</v>
      </c>
    </row>
    <row r="25" spans="1:25" ht="16.5" thickBot="1" x14ac:dyDescent="0.3">
      <c r="A25" s="109" t="s">
        <v>113</v>
      </c>
      <c r="B25" s="127"/>
      <c r="C25" s="118"/>
      <c r="D25" s="118">
        <f>+DIABLO!G16</f>
        <v>0</v>
      </c>
      <c r="E25" s="110"/>
      <c r="F25" s="98"/>
      <c r="G25" s="98">
        <f>+DIABLO!G17</f>
        <v>0.25277777777777771</v>
      </c>
      <c r="H25" s="127"/>
      <c r="I25" s="118"/>
      <c r="J25" s="118">
        <f>+DIABLO!G18</f>
        <v>0.24999999999999989</v>
      </c>
      <c r="K25" s="110"/>
      <c r="L25" s="98"/>
      <c r="M25" s="98">
        <f>+DIABLO!G19</f>
        <v>0.25763888888888881</v>
      </c>
      <c r="N25" s="110"/>
      <c r="O25" s="98"/>
      <c r="P25" s="98">
        <f>+DIABLO!G20</f>
        <v>0.25416666666666676</v>
      </c>
      <c r="Q25" s="110"/>
      <c r="R25" s="111"/>
      <c r="S25" s="112"/>
      <c r="T25" s="110"/>
      <c r="U25" s="111"/>
      <c r="V25" s="113"/>
      <c r="W25" s="114" t="str">
        <f t="shared" si="4"/>
        <v/>
      </c>
      <c r="X25" s="115" t="str">
        <f t="shared" si="4"/>
        <v/>
      </c>
      <c r="Y25" s="153">
        <f t="shared" si="5"/>
        <v>0.20291666666666658</v>
      </c>
    </row>
    <row r="26" spans="1:25" ht="16.5" thickBot="1" x14ac:dyDescent="0.3">
      <c r="A26" s="95" t="s">
        <v>118</v>
      </c>
      <c r="B26" s="182" t="s">
        <v>110</v>
      </c>
      <c r="C26" s="183"/>
      <c r="D26" s="184"/>
      <c r="E26" s="182" t="s">
        <v>110</v>
      </c>
      <c r="F26" s="183"/>
      <c r="G26" s="184"/>
      <c r="H26" s="182" t="s">
        <v>110</v>
      </c>
      <c r="I26" s="183"/>
      <c r="J26" s="184"/>
      <c r="K26" s="182" t="s">
        <v>110</v>
      </c>
      <c r="L26" s="183"/>
      <c r="M26" s="184"/>
      <c r="N26" s="182" t="s">
        <v>110</v>
      </c>
      <c r="O26" s="183"/>
      <c r="P26" s="184"/>
      <c r="Q26" s="182" t="s">
        <v>110</v>
      </c>
      <c r="R26" s="183"/>
      <c r="S26" s="184"/>
      <c r="T26" s="182" t="s">
        <v>110</v>
      </c>
      <c r="U26" s="183"/>
      <c r="V26" s="183"/>
      <c r="W26" s="199" t="s">
        <v>110</v>
      </c>
      <c r="X26" s="183"/>
      <c r="Y26" s="200"/>
    </row>
    <row r="27" spans="1:25" x14ac:dyDescent="0.25">
      <c r="A27" s="96" t="s">
        <v>111</v>
      </c>
      <c r="B27" s="117"/>
      <c r="C27" s="118">
        <f>+'PIPA N'!D3</f>
        <v>0</v>
      </c>
      <c r="D27" s="118"/>
      <c r="E27" s="97"/>
      <c r="F27" s="98">
        <f>+'PIPA N'!J4</f>
        <v>0.65972222222222221</v>
      </c>
      <c r="G27" s="98"/>
      <c r="H27" s="117"/>
      <c r="I27" s="118">
        <f>+'PIPA N'!D5</f>
        <v>0.33680555555555558</v>
      </c>
      <c r="J27" s="118"/>
      <c r="K27" s="97"/>
      <c r="L27" s="98">
        <f>+'PIPA N'!D6</f>
        <v>0.34375</v>
      </c>
      <c r="M27" s="98"/>
      <c r="N27" s="97"/>
      <c r="O27" s="98">
        <f>+'PIPA N'!D7</f>
        <v>0.34375</v>
      </c>
      <c r="P27" s="98"/>
      <c r="Q27" s="97"/>
      <c r="R27" s="100"/>
      <c r="S27" s="101"/>
      <c r="T27" s="97"/>
      <c r="U27" s="100"/>
      <c r="V27" s="102"/>
      <c r="W27" s="103" t="str">
        <f>IFERROR(AVERAGE(B27,E27,H27,K27,N27,Q27,T27),"")</f>
        <v/>
      </c>
      <c r="X27" s="104">
        <f t="shared" ref="X27:Y29" si="6">IFERROR(AVERAGE(C27,F27,I27,L27,O27,R27,U27),"")</f>
        <v>0.33680555555555552</v>
      </c>
      <c r="Y27" s="151" t="str">
        <f t="shared" si="6"/>
        <v/>
      </c>
    </row>
    <row r="28" spans="1:25" x14ac:dyDescent="0.25">
      <c r="A28" s="134" t="s">
        <v>112</v>
      </c>
      <c r="B28" s="147"/>
      <c r="C28" s="118">
        <f>+'PIPA N'!J3</f>
        <v>0</v>
      </c>
      <c r="D28" s="118"/>
      <c r="E28" s="135"/>
      <c r="F28" s="98">
        <f>+'PIPA N'!J4</f>
        <v>0.65972222222222221</v>
      </c>
      <c r="G28" s="98"/>
      <c r="H28" s="147"/>
      <c r="I28" s="118">
        <f>+'PIPA N'!J5</f>
        <v>0.65972222222222221</v>
      </c>
      <c r="J28" s="118"/>
      <c r="K28" s="135"/>
      <c r="L28" s="98">
        <f>+'PIPA N'!J6</f>
        <v>0.65972222222222221</v>
      </c>
      <c r="M28" s="98"/>
      <c r="N28" s="135"/>
      <c r="O28" s="98">
        <f>+'PIPA N'!J7</f>
        <v>0.65972222222222221</v>
      </c>
      <c r="P28" s="98"/>
      <c r="Q28" s="135"/>
      <c r="R28" s="136"/>
      <c r="S28" s="137"/>
      <c r="T28" s="135"/>
      <c r="U28" s="136"/>
      <c r="V28" s="138"/>
      <c r="W28" s="106" t="str">
        <f>IFERROR(AVERAGE(B28,E28,H28,K28,N28,Q28,T28),"")</f>
        <v/>
      </c>
      <c r="X28" s="107">
        <f t="shared" si="6"/>
        <v>0.52777777777777779</v>
      </c>
      <c r="Y28" s="152" t="str">
        <f t="shared" si="6"/>
        <v/>
      </c>
    </row>
    <row r="29" spans="1:25" ht="16.5" thickBot="1" x14ac:dyDescent="0.3">
      <c r="A29" s="109" t="s">
        <v>113</v>
      </c>
      <c r="B29" s="127"/>
      <c r="C29" s="118">
        <f>+'PIPA N'!G16</f>
        <v>0</v>
      </c>
      <c r="D29" s="118"/>
      <c r="E29" s="110"/>
      <c r="F29" s="98">
        <f>+'PIPA N'!G17</f>
        <v>0.24791666666666667</v>
      </c>
      <c r="G29" s="98"/>
      <c r="H29" s="127"/>
      <c r="I29" s="118">
        <f>+'PIPA N'!G18</f>
        <v>0.25069444444444439</v>
      </c>
      <c r="J29" s="118"/>
      <c r="K29" s="110"/>
      <c r="L29" s="98">
        <f>+'PIPA N'!G19</f>
        <v>0.25555555555555559</v>
      </c>
      <c r="M29" s="98"/>
      <c r="N29" s="110"/>
      <c r="O29" s="98">
        <f>+'PIPA N'!G20</f>
        <v>0.25138888888888883</v>
      </c>
      <c r="P29" s="98"/>
      <c r="Q29" s="110"/>
      <c r="R29" s="111"/>
      <c r="S29" s="112"/>
      <c r="T29" s="110"/>
      <c r="U29" s="111"/>
      <c r="V29" s="113"/>
      <c r="W29" s="114" t="str">
        <f>IFERROR(AVERAGE(B29,E29,H29,K29,N29,Q29,T29),"")</f>
        <v/>
      </c>
      <c r="X29" s="115">
        <f t="shared" si="6"/>
        <v>0.2011111111111111</v>
      </c>
      <c r="Y29" s="153" t="str">
        <f t="shared" si="6"/>
        <v/>
      </c>
    </row>
    <row r="30" spans="1:25" ht="16.5" thickBot="1" x14ac:dyDescent="0.3">
      <c r="A30" s="95" t="s">
        <v>119</v>
      </c>
      <c r="B30" s="182" t="s">
        <v>110</v>
      </c>
      <c r="C30" s="183"/>
      <c r="D30" s="184"/>
      <c r="E30" s="182" t="s">
        <v>110</v>
      </c>
      <c r="F30" s="183"/>
      <c r="G30" s="184"/>
      <c r="H30" s="182" t="s">
        <v>110</v>
      </c>
      <c r="I30" s="183"/>
      <c r="J30" s="184"/>
      <c r="K30" s="182" t="s">
        <v>110</v>
      </c>
      <c r="L30" s="183"/>
      <c r="M30" s="184"/>
      <c r="N30" s="182" t="s">
        <v>110</v>
      </c>
      <c r="O30" s="183"/>
      <c r="P30" s="184"/>
      <c r="Q30" s="182" t="s">
        <v>110</v>
      </c>
      <c r="R30" s="183"/>
      <c r="S30" s="184"/>
      <c r="T30" s="182" t="s">
        <v>110</v>
      </c>
      <c r="U30" s="183"/>
      <c r="V30" s="183"/>
      <c r="W30" s="199" t="s">
        <v>110</v>
      </c>
      <c r="X30" s="183"/>
      <c r="Y30" s="200"/>
    </row>
    <row r="31" spans="1:25" x14ac:dyDescent="0.25">
      <c r="A31" s="96" t="s">
        <v>111</v>
      </c>
      <c r="B31" s="117"/>
      <c r="C31" s="118">
        <f>+'CH colon'!D3</f>
        <v>0</v>
      </c>
      <c r="D31" s="118"/>
      <c r="E31" s="97"/>
      <c r="F31" s="98">
        <f>+'CH colon'!D4</f>
        <v>0.31388888888888888</v>
      </c>
      <c r="G31" s="98"/>
      <c r="H31" s="117"/>
      <c r="I31" s="118">
        <f>+'CH colon'!D5</f>
        <v>0.3125</v>
      </c>
      <c r="J31" s="118"/>
      <c r="K31" s="97"/>
      <c r="L31" s="98">
        <f>+'CH colon'!D6</f>
        <v>0.30902777777777779</v>
      </c>
      <c r="M31" s="98"/>
      <c r="N31" s="97"/>
      <c r="O31" s="98">
        <f>+'CH colon'!D7</f>
        <v>0.31180555555555556</v>
      </c>
      <c r="P31" s="98"/>
      <c r="Q31" s="97"/>
      <c r="R31" s="100"/>
      <c r="S31" s="101"/>
      <c r="T31" s="97"/>
      <c r="U31" s="100"/>
      <c r="V31" s="102"/>
      <c r="W31" s="103" t="str">
        <f>IFERROR(AVERAGE(B31,E31,H31,K31,N31,Q31,T31),"")</f>
        <v/>
      </c>
      <c r="X31" s="104">
        <f t="shared" ref="X31:Y33" si="7">IFERROR(AVERAGE(C31,F31,I31,L31,O31,R31,U31),"")</f>
        <v>0.24944444444444444</v>
      </c>
      <c r="Y31" s="105" t="str">
        <f t="shared" si="7"/>
        <v/>
      </c>
    </row>
    <row r="32" spans="1:25" x14ac:dyDescent="0.25">
      <c r="A32" s="96" t="s">
        <v>112</v>
      </c>
      <c r="B32" s="117"/>
      <c r="C32" s="118">
        <f>+'CH colon'!J3</f>
        <v>0</v>
      </c>
      <c r="D32" s="118"/>
      <c r="E32" s="97"/>
      <c r="F32" s="98">
        <f>+'CH colon'!J4</f>
        <v>0.65277777777777779</v>
      </c>
      <c r="G32" s="98"/>
      <c r="H32" s="117"/>
      <c r="I32" s="118">
        <f>+'CH colon'!J5</f>
        <v>0.65277777777777801</v>
      </c>
      <c r="J32" s="118"/>
      <c r="K32" s="97"/>
      <c r="L32" s="98">
        <f>+'CH colon'!J6</f>
        <v>0.65277777777777801</v>
      </c>
      <c r="M32" s="98"/>
      <c r="N32" s="97"/>
      <c r="O32" s="98">
        <f>+'CH colon'!J7</f>
        <v>0.65277777777777801</v>
      </c>
      <c r="P32" s="98"/>
      <c r="Q32" s="97"/>
      <c r="R32" s="100"/>
      <c r="S32" s="101"/>
      <c r="T32" s="97"/>
      <c r="U32" s="100"/>
      <c r="V32" s="102"/>
      <c r="W32" s="106" t="str">
        <f>IFERROR(AVERAGE(B32,E32,H32,K32,N32,Q32,T32),"")</f>
        <v/>
      </c>
      <c r="X32" s="107">
        <f t="shared" si="7"/>
        <v>0.52222222222222237</v>
      </c>
      <c r="Y32" s="108" t="str">
        <f t="shared" si="7"/>
        <v/>
      </c>
    </row>
    <row r="33" spans="1:25" ht="16.5" thickBot="1" x14ac:dyDescent="0.3">
      <c r="A33" s="109" t="s">
        <v>113</v>
      </c>
      <c r="B33" s="127"/>
      <c r="C33" s="118">
        <f>+'CH colon'!G16</f>
        <v>0</v>
      </c>
      <c r="D33" s="118"/>
      <c r="E33" s="110"/>
      <c r="F33" s="98">
        <f>+'CH colon'!G17</f>
        <v>0.26597222222222222</v>
      </c>
      <c r="G33" s="98"/>
      <c r="H33" s="127"/>
      <c r="I33" s="118">
        <f>+'CH colon'!G18</f>
        <v>0.26180555555555585</v>
      </c>
      <c r="J33" s="118"/>
      <c r="K33" s="110"/>
      <c r="L33" s="98">
        <f>+'CH colon'!G19</f>
        <v>0.26944444444444471</v>
      </c>
      <c r="M33" s="98"/>
      <c r="N33" s="110"/>
      <c r="O33" s="98">
        <f>+'CH colon'!G20</f>
        <v>0.25138888888888916</v>
      </c>
      <c r="P33" s="98"/>
      <c r="Q33" s="110"/>
      <c r="R33" s="111"/>
      <c r="S33" s="112"/>
      <c r="T33" s="110"/>
      <c r="U33" s="111"/>
      <c r="V33" s="113"/>
      <c r="W33" s="114" t="str">
        <f>IFERROR(AVERAGE(B33,E33,H33,K33,N33,Q33,T33),"")</f>
        <v/>
      </c>
      <c r="X33" s="115">
        <f t="shared" si="7"/>
        <v>0.20972222222222242</v>
      </c>
      <c r="Y33" s="116" t="str">
        <f t="shared" si="7"/>
        <v/>
      </c>
    </row>
    <row r="34" spans="1:25" ht="16.5" thickBot="1" x14ac:dyDescent="0.3">
      <c r="A34" s="95" t="s">
        <v>92</v>
      </c>
      <c r="B34" s="182" t="s">
        <v>110</v>
      </c>
      <c r="C34" s="183"/>
      <c r="D34" s="184"/>
      <c r="E34" s="182" t="s">
        <v>110</v>
      </c>
      <c r="F34" s="183"/>
      <c r="G34" s="184"/>
      <c r="H34" s="182" t="s">
        <v>110</v>
      </c>
      <c r="I34" s="183"/>
      <c r="J34" s="184"/>
      <c r="K34" s="182" t="s">
        <v>110</v>
      </c>
      <c r="L34" s="183"/>
      <c r="M34" s="184"/>
      <c r="N34" s="182" t="s">
        <v>110</v>
      </c>
      <c r="O34" s="183"/>
      <c r="P34" s="184"/>
      <c r="Q34" s="182" t="s">
        <v>110</v>
      </c>
      <c r="R34" s="183"/>
      <c r="S34" s="184"/>
      <c r="T34" s="182" t="s">
        <v>110</v>
      </c>
      <c r="U34" s="183"/>
      <c r="V34" s="183"/>
      <c r="W34" s="199" t="s">
        <v>110</v>
      </c>
      <c r="X34" s="183"/>
      <c r="Y34" s="200"/>
    </row>
    <row r="35" spans="1:25" x14ac:dyDescent="0.25">
      <c r="A35" s="96" t="s">
        <v>111</v>
      </c>
      <c r="B35" s="117"/>
      <c r="C35" s="118">
        <f>+Salvataje!D3</f>
        <v>0</v>
      </c>
      <c r="D35" s="121"/>
      <c r="E35" s="97"/>
      <c r="F35" s="98">
        <f>+Salvataje!D4</f>
        <v>0.34027777777777773</v>
      </c>
      <c r="G35" s="101"/>
      <c r="H35" s="117"/>
      <c r="I35" s="118">
        <f>+Salvataje!D5</f>
        <v>0.33680555555555558</v>
      </c>
      <c r="J35" s="121"/>
      <c r="K35" s="97"/>
      <c r="L35" s="98">
        <f>+Salvataje!D6</f>
        <v>0.34375</v>
      </c>
      <c r="M35" s="101"/>
      <c r="N35" s="97"/>
      <c r="O35" s="98">
        <f>+Salvataje!D7</f>
        <v>0.33680555555555558</v>
      </c>
      <c r="P35" s="101"/>
      <c r="Q35" s="97"/>
      <c r="R35" s="100"/>
      <c r="S35" s="101"/>
      <c r="T35" s="97"/>
      <c r="U35" s="100"/>
      <c r="V35" s="102"/>
      <c r="W35" s="103" t="str">
        <f>IFERROR(AVERAGE(B35,E35,H35,K35,N35,Q35,T35),"")</f>
        <v/>
      </c>
      <c r="X35" s="104">
        <f t="shared" ref="X35:Y37" si="8">IFERROR(AVERAGE(C35,F35,I35,L35,O35,R35,U35),"")</f>
        <v>0.27152777777777776</v>
      </c>
      <c r="Y35" s="105" t="str">
        <f t="shared" si="8"/>
        <v/>
      </c>
    </row>
    <row r="36" spans="1:25" x14ac:dyDescent="0.25">
      <c r="A36" s="96" t="s">
        <v>112</v>
      </c>
      <c r="B36" s="117"/>
      <c r="C36" s="118">
        <f>+Salvataje!J3</f>
        <v>0</v>
      </c>
      <c r="D36" s="121"/>
      <c r="E36" s="97"/>
      <c r="F36" s="98">
        <f>+Salvataje!J4</f>
        <v>0.65972222222222221</v>
      </c>
      <c r="G36" s="101"/>
      <c r="H36" s="117"/>
      <c r="I36" s="118">
        <f>+Salvataje!J5</f>
        <v>0.65972222222222199</v>
      </c>
      <c r="J36" s="121"/>
      <c r="K36" s="97"/>
      <c r="L36" s="98">
        <f>+Salvataje!J6</f>
        <v>0.65972222222222199</v>
      </c>
      <c r="M36" s="101"/>
      <c r="N36" s="97"/>
      <c r="O36" s="98">
        <f>+Salvataje!J7</f>
        <v>0.65972222222222199</v>
      </c>
      <c r="P36" s="101"/>
      <c r="Q36" s="97"/>
      <c r="R36" s="100"/>
      <c r="S36" s="101"/>
      <c r="T36" s="97"/>
      <c r="U36" s="100"/>
      <c r="V36" s="102"/>
      <c r="W36" s="106" t="str">
        <f>IFERROR(AVERAGE(B36,E36,H36,K36,N36,Q36,T36),"")</f>
        <v/>
      </c>
      <c r="X36" s="107">
        <f t="shared" si="8"/>
        <v>0.52777777777777757</v>
      </c>
      <c r="Y36" s="108" t="str">
        <f t="shared" si="8"/>
        <v/>
      </c>
    </row>
    <row r="37" spans="1:25" ht="16.5" thickBot="1" x14ac:dyDescent="0.3">
      <c r="A37" s="109" t="s">
        <v>113</v>
      </c>
      <c r="B37" s="127"/>
      <c r="C37" s="118">
        <f>+Salvataje!G16</f>
        <v>0</v>
      </c>
      <c r="D37" s="130"/>
      <c r="E37" s="110"/>
      <c r="F37" s="98">
        <f>+Salvataje!G17</f>
        <v>0.24583333333333329</v>
      </c>
      <c r="G37" s="112"/>
      <c r="H37" s="127"/>
      <c r="I37" s="118">
        <f>+Salvataje!G18</f>
        <v>0.24236111111111086</v>
      </c>
      <c r="J37" s="130"/>
      <c r="K37" s="110"/>
      <c r="L37" s="98">
        <f>+Salvataje!G19</f>
        <v>0.25763888888888864</v>
      </c>
      <c r="M37" s="112"/>
      <c r="N37" s="110"/>
      <c r="O37" s="98">
        <f>+Salvataje!G20</f>
        <v>0.24722222222222195</v>
      </c>
      <c r="P37" s="112"/>
      <c r="Q37" s="110"/>
      <c r="R37" s="111"/>
      <c r="S37" s="112"/>
      <c r="T37" s="110"/>
      <c r="U37" s="111"/>
      <c r="V37" s="113"/>
      <c r="W37" s="114" t="str">
        <f>IFERROR(AVERAGE(B37,E37,H37,K37,N37,Q37,T37),"")</f>
        <v/>
      </c>
      <c r="X37" s="115">
        <f t="shared" si="8"/>
        <v>0.19861111111111093</v>
      </c>
      <c r="Y37" s="116" t="str">
        <f t="shared" si="8"/>
        <v/>
      </c>
    </row>
    <row r="38" spans="1:25" ht="16.5" thickBot="1" x14ac:dyDescent="0.3">
      <c r="A38" s="95" t="s">
        <v>86</v>
      </c>
      <c r="B38" s="182" t="s">
        <v>110</v>
      </c>
      <c r="C38" s="183"/>
      <c r="D38" s="184"/>
      <c r="E38" s="182" t="s">
        <v>110</v>
      </c>
      <c r="F38" s="183"/>
      <c r="G38" s="184"/>
      <c r="H38" s="182" t="s">
        <v>110</v>
      </c>
      <c r="I38" s="183"/>
      <c r="J38" s="184"/>
      <c r="K38" s="182" t="s">
        <v>110</v>
      </c>
      <c r="L38" s="183"/>
      <c r="M38" s="184"/>
      <c r="N38" s="182" t="s">
        <v>110</v>
      </c>
      <c r="O38" s="183"/>
      <c r="P38" s="184"/>
      <c r="Q38" s="182" t="s">
        <v>110</v>
      </c>
      <c r="R38" s="183"/>
      <c r="S38" s="184"/>
      <c r="T38" s="182" t="s">
        <v>110</v>
      </c>
      <c r="U38" s="183"/>
      <c r="V38" s="183"/>
      <c r="W38" s="199" t="s">
        <v>110</v>
      </c>
      <c r="X38" s="183"/>
      <c r="Y38" s="200"/>
    </row>
    <row r="39" spans="1:25" x14ac:dyDescent="0.25">
      <c r="A39" s="96" t="s">
        <v>111</v>
      </c>
      <c r="B39" s="117"/>
      <c r="C39" s="118">
        <f>+'LA JUNTA'!D3</f>
        <v>0</v>
      </c>
      <c r="D39" s="121"/>
      <c r="E39" s="97"/>
      <c r="F39" s="98">
        <f>+'LA JUNTA'!D4</f>
        <v>0.31458333333333333</v>
      </c>
      <c r="G39" s="99"/>
      <c r="H39" s="117"/>
      <c r="I39" s="118">
        <f>+'LA JUNTA'!D5</f>
        <v>0.3125</v>
      </c>
      <c r="J39" s="119"/>
      <c r="K39" s="97"/>
      <c r="L39" s="98">
        <f>+'LA JUNTA'!D6</f>
        <v>0.3125</v>
      </c>
      <c r="M39" s="99"/>
      <c r="N39" s="97"/>
      <c r="O39" s="98">
        <f>+'LA JUNTA'!D7</f>
        <v>0.30555555555555552</v>
      </c>
      <c r="P39" s="99"/>
      <c r="Q39" s="97"/>
      <c r="R39" s="100"/>
      <c r="S39" s="101"/>
      <c r="T39" s="97"/>
      <c r="U39" s="100"/>
      <c r="V39" s="102"/>
      <c r="W39" s="103" t="str">
        <f>IFERROR(AVERAGE(B39,E39,H39,K39,N39,Q39,T39),"")</f>
        <v/>
      </c>
      <c r="X39" s="104">
        <f>IFERROR(AVERAGE(C39,F39,I39,L39,O39,R39,U39),"")</f>
        <v>0.24902777777777776</v>
      </c>
      <c r="Y39" s="105" t="str">
        <f>IFERROR(AVERAGE(D39,G39,J39,M39,P39,S39,V39),"")</f>
        <v/>
      </c>
    </row>
    <row r="40" spans="1:25" x14ac:dyDescent="0.25">
      <c r="A40" s="96" t="s">
        <v>112</v>
      </c>
      <c r="B40" s="117"/>
      <c r="C40" s="118">
        <f>+'LA JUNTA'!J3</f>
        <v>0</v>
      </c>
      <c r="D40" s="121"/>
      <c r="E40" s="97"/>
      <c r="F40" s="98">
        <f>+'LA JUNTA'!J4</f>
        <v>0.65972222222222221</v>
      </c>
      <c r="G40" s="99"/>
      <c r="H40" s="117"/>
      <c r="I40" s="118">
        <f>+'LA JUNTA'!J5</f>
        <v>0.65972222222222199</v>
      </c>
      <c r="J40" s="119"/>
      <c r="K40" s="97"/>
      <c r="L40" s="98">
        <f>+'LA JUNTA'!J6</f>
        <v>0.65972222222222199</v>
      </c>
      <c r="M40" s="99"/>
      <c r="N40" s="97"/>
      <c r="O40" s="98">
        <f>+'LA JUNTA'!J7</f>
        <v>0.65972222222222199</v>
      </c>
      <c r="P40" s="99"/>
      <c r="Q40" s="97"/>
      <c r="R40" s="100"/>
      <c r="S40" s="101"/>
      <c r="T40" s="97"/>
      <c r="U40" s="100"/>
      <c r="V40" s="102"/>
      <c r="W40" s="106" t="str">
        <f>IFERROR(AVERAGE(B40,E40,H40,K40,N40,Q40,T40),"")</f>
        <v/>
      </c>
      <c r="X40" s="107">
        <f t="shared" ref="X40:X41" si="9">IFERROR(AVERAGE(C40,F40,I40,L40,O40,R40,U40),"")</f>
        <v>0.52777777777777757</v>
      </c>
      <c r="Y40" s="108" t="str">
        <f>IFERROR(AVERAGE(D40,G40,J40,M40,P40,S40,V40),"")</f>
        <v/>
      </c>
    </row>
    <row r="41" spans="1:25" ht="16.5" thickBot="1" x14ac:dyDescent="0.3">
      <c r="A41" s="109" t="s">
        <v>113</v>
      </c>
      <c r="B41" s="127"/>
      <c r="C41" s="128">
        <f>+'LA JUNTA'!G16</f>
        <v>0</v>
      </c>
      <c r="D41" s="130"/>
      <c r="E41" s="110"/>
      <c r="F41" s="139">
        <f>+'LA JUNTA'!G17</f>
        <v>0.2895833333333333</v>
      </c>
      <c r="G41" s="99"/>
      <c r="H41" s="127"/>
      <c r="I41" s="128">
        <f>+'LA JUNTA'!G18</f>
        <v>0.28611111111111087</v>
      </c>
      <c r="J41" s="119"/>
      <c r="K41" s="110"/>
      <c r="L41" s="139">
        <f>+'LA JUNTA'!G19</f>
        <v>0.2881944444444442</v>
      </c>
      <c r="M41" s="99"/>
      <c r="N41" s="110"/>
      <c r="O41" s="139">
        <f>+'LA JUNTA'!G20</f>
        <v>0.29166666666666646</v>
      </c>
      <c r="P41" s="99"/>
      <c r="Q41" s="110"/>
      <c r="R41" s="111"/>
      <c r="S41" s="112"/>
      <c r="T41" s="110"/>
      <c r="U41" s="111"/>
      <c r="V41" s="113"/>
      <c r="W41" s="114" t="str">
        <f>IFERROR(AVERAGE(B41,E41,H41,K41,N41,Q41,T41),"")</f>
        <v/>
      </c>
      <c r="X41" s="115">
        <f t="shared" si="9"/>
        <v>0.23111111111111096</v>
      </c>
      <c r="Y41" s="116" t="str">
        <f>IFERROR(AVERAGE(D41,G41,J41,M41,P41,S41,V41),"")</f>
        <v/>
      </c>
    </row>
    <row r="42" spans="1:25" ht="16.5" thickBot="1" x14ac:dyDescent="0.3">
      <c r="A42" s="95" t="s">
        <v>62</v>
      </c>
      <c r="B42" s="182" t="s">
        <v>110</v>
      </c>
      <c r="C42" s="183"/>
      <c r="D42" s="184"/>
      <c r="E42" s="182" t="s">
        <v>110</v>
      </c>
      <c r="F42" s="183"/>
      <c r="G42" s="184"/>
      <c r="H42" s="182" t="s">
        <v>110</v>
      </c>
      <c r="I42" s="183"/>
      <c r="J42" s="184"/>
      <c r="K42" s="182" t="s">
        <v>110</v>
      </c>
      <c r="L42" s="183"/>
      <c r="M42" s="184"/>
      <c r="N42" s="182" t="s">
        <v>110</v>
      </c>
      <c r="O42" s="183"/>
      <c r="P42" s="184"/>
      <c r="Q42" s="182" t="s">
        <v>110</v>
      </c>
      <c r="R42" s="183"/>
      <c r="S42" s="184"/>
      <c r="T42" s="182" t="s">
        <v>110</v>
      </c>
      <c r="U42" s="183"/>
      <c r="V42" s="183"/>
      <c r="W42" s="199" t="s">
        <v>110</v>
      </c>
      <c r="X42" s="183"/>
      <c r="Y42" s="200"/>
    </row>
    <row r="43" spans="1:25" x14ac:dyDescent="0.25">
      <c r="A43" s="96" t="s">
        <v>111</v>
      </c>
      <c r="B43" s="117"/>
      <c r="C43" s="174">
        <f>+AC!D3</f>
        <v>0</v>
      </c>
      <c r="D43" s="174"/>
      <c r="E43" s="97"/>
      <c r="F43" s="143">
        <f>+AC!D4</f>
        <v>0.64583333333333337</v>
      </c>
      <c r="G43" s="143"/>
      <c r="H43" s="117"/>
      <c r="I43" s="174">
        <f>+AC!D5</f>
        <v>0.64583333333333337</v>
      </c>
      <c r="J43" s="174"/>
      <c r="K43" s="97"/>
      <c r="L43" s="143">
        <f>+AC!D6</f>
        <v>0.64583333333333337</v>
      </c>
      <c r="M43" s="143"/>
      <c r="N43" s="97"/>
      <c r="O43" s="143">
        <f>+AC!D7</f>
        <v>0.64583333333333337</v>
      </c>
      <c r="P43" s="143"/>
      <c r="Q43" s="97"/>
      <c r="R43" s="100"/>
      <c r="S43" s="101"/>
      <c r="T43" s="97"/>
      <c r="U43" s="100"/>
      <c r="V43" s="102"/>
      <c r="W43" s="103" t="str">
        <f>IFERROR(AVERAGE(B43,E43,H43,K43,N43,Q43,T43),"")</f>
        <v/>
      </c>
      <c r="X43" s="104">
        <f t="shared" ref="X43:Y45" si="10">IFERROR(AVERAGE(C43,F43,I43,L43,O43,R43,U43),"")</f>
        <v>0.51666666666666672</v>
      </c>
      <c r="Y43" s="104" t="str">
        <f t="shared" si="10"/>
        <v/>
      </c>
    </row>
    <row r="44" spans="1:25" x14ac:dyDescent="0.25">
      <c r="A44" s="96" t="s">
        <v>112</v>
      </c>
      <c r="B44" s="117"/>
      <c r="C44" s="118">
        <f>+AC!J3</f>
        <v>0</v>
      </c>
      <c r="D44" s="118"/>
      <c r="E44" s="97"/>
      <c r="F44" s="98">
        <f>+AC!J4</f>
        <v>0.98958333333333337</v>
      </c>
      <c r="G44" s="98"/>
      <c r="H44" s="117"/>
      <c r="I44" s="118">
        <f>+AC!J5</f>
        <v>0.98125000000000007</v>
      </c>
      <c r="J44" s="118"/>
      <c r="K44" s="97"/>
      <c r="L44" s="98">
        <f>+AC!J6</f>
        <v>0.98611111111111116</v>
      </c>
      <c r="M44" s="98"/>
      <c r="N44" s="97"/>
      <c r="O44" s="98">
        <f>+AC!J7</f>
        <v>0.98472222222222217</v>
      </c>
      <c r="P44" s="98"/>
      <c r="Q44" s="97"/>
      <c r="R44" s="100"/>
      <c r="S44" s="101"/>
      <c r="T44" s="97"/>
      <c r="U44" s="100"/>
      <c r="V44" s="102"/>
      <c r="W44" s="106" t="str">
        <f>IFERROR(AVERAGE(B44,E44,H44,K44,N44,Q44,T44),"")</f>
        <v/>
      </c>
      <c r="X44" s="107">
        <f t="shared" si="10"/>
        <v>0.78833333333333333</v>
      </c>
      <c r="Y44" s="107" t="str">
        <f t="shared" si="10"/>
        <v/>
      </c>
    </row>
    <row r="45" spans="1:25" ht="16.5" thickBot="1" x14ac:dyDescent="0.3">
      <c r="A45" s="109" t="s">
        <v>113</v>
      </c>
      <c r="B45" s="127"/>
      <c r="C45" s="128">
        <f>+AC!G16</f>
        <v>0</v>
      </c>
      <c r="D45" s="128"/>
      <c r="E45" s="110"/>
      <c r="F45" s="139">
        <f>+AC!G17</f>
        <v>0.27361111111111114</v>
      </c>
      <c r="G45" s="139"/>
      <c r="H45" s="127"/>
      <c r="I45" s="128">
        <f>+AC!G18</f>
        <v>0.22986111111111107</v>
      </c>
      <c r="J45" s="128"/>
      <c r="K45" s="110"/>
      <c r="L45" s="139">
        <f>+AC!G19</f>
        <v>0.26250000000000007</v>
      </c>
      <c r="M45" s="139"/>
      <c r="N45" s="110"/>
      <c r="O45" s="139">
        <f>+AC!G20</f>
        <v>0.25208333333333333</v>
      </c>
      <c r="P45" s="139"/>
      <c r="Q45" s="110"/>
      <c r="R45" s="111"/>
      <c r="S45" s="112"/>
      <c r="T45" s="110"/>
      <c r="U45" s="111"/>
      <c r="V45" s="113"/>
      <c r="W45" s="114" t="str">
        <f>IFERROR(AVERAGE(B45,E45,H45,K45,N45,Q45,T45),"")</f>
        <v/>
      </c>
      <c r="X45" s="115">
        <f t="shared" si="10"/>
        <v>0.20361111111111113</v>
      </c>
      <c r="Y45" s="115" t="str">
        <f t="shared" si="10"/>
        <v/>
      </c>
    </row>
    <row r="46" spans="1:25" ht="16.5" thickBot="1" x14ac:dyDescent="0.3">
      <c r="A46" s="95" t="s">
        <v>120</v>
      </c>
      <c r="B46" s="182" t="s">
        <v>110</v>
      </c>
      <c r="C46" s="183"/>
      <c r="D46" s="184"/>
      <c r="E46" s="182" t="s">
        <v>110</v>
      </c>
      <c r="F46" s="183"/>
      <c r="G46" s="184"/>
      <c r="H46" s="182" t="s">
        <v>110</v>
      </c>
      <c r="I46" s="183"/>
      <c r="J46" s="184"/>
      <c r="K46" s="182" t="s">
        <v>110</v>
      </c>
      <c r="L46" s="183"/>
      <c r="M46" s="184"/>
      <c r="N46" s="182" t="s">
        <v>110</v>
      </c>
      <c r="O46" s="183"/>
      <c r="P46" s="184"/>
      <c r="Q46" s="182" t="s">
        <v>110</v>
      </c>
      <c r="R46" s="183"/>
      <c r="S46" s="184"/>
      <c r="T46" s="182" t="s">
        <v>110</v>
      </c>
      <c r="U46" s="183"/>
      <c r="V46" s="183"/>
      <c r="W46" s="199" t="s">
        <v>110</v>
      </c>
      <c r="X46" s="183"/>
      <c r="Y46" s="200"/>
    </row>
    <row r="47" spans="1:25" x14ac:dyDescent="0.25">
      <c r="A47" s="96" t="s">
        <v>111</v>
      </c>
      <c r="B47" s="117"/>
      <c r="C47" s="118"/>
      <c r="D47" s="118">
        <f>+Colec!D3</f>
        <v>0</v>
      </c>
      <c r="E47" s="117"/>
      <c r="F47" s="118"/>
      <c r="G47" s="118">
        <f>+Colec!D4</f>
        <v>0.3125</v>
      </c>
      <c r="H47" s="117"/>
      <c r="I47" s="118"/>
      <c r="J47" s="118">
        <f>+Colec!D5</f>
        <v>0.3125</v>
      </c>
      <c r="K47" s="117"/>
      <c r="L47" s="118"/>
      <c r="M47" s="118">
        <f>+Colec!D6</f>
        <v>0.3125</v>
      </c>
      <c r="N47" s="117"/>
      <c r="O47" s="118"/>
      <c r="P47" s="118">
        <f>+Colec!D7</f>
        <v>0.3125</v>
      </c>
      <c r="Q47" s="117"/>
      <c r="R47" s="120"/>
      <c r="S47" s="121"/>
      <c r="T47" s="117"/>
      <c r="U47" s="120"/>
      <c r="V47" s="122"/>
      <c r="W47" s="123" t="str">
        <f>IFERROR(AVERAGE(B47,E47,H47,K47,N47,Q47,T47),"")</f>
        <v/>
      </c>
      <c r="X47" s="124" t="str">
        <f t="shared" ref="X47:Y49" si="11">IFERROR(AVERAGE(C47,F47,I47,L47,O47,R47,U47),"")</f>
        <v/>
      </c>
      <c r="Y47" s="124">
        <f t="shared" si="11"/>
        <v>0.25</v>
      </c>
    </row>
    <row r="48" spans="1:25" x14ac:dyDescent="0.25">
      <c r="A48" s="96" t="s">
        <v>112</v>
      </c>
      <c r="B48" s="117"/>
      <c r="C48" s="118"/>
      <c r="D48" s="118">
        <f>+Colec!J3</f>
        <v>0</v>
      </c>
      <c r="E48" s="117"/>
      <c r="F48" s="118"/>
      <c r="G48" s="118">
        <f>+Colec!J4</f>
        <v>0.65277777777777779</v>
      </c>
      <c r="H48" s="117"/>
      <c r="I48" s="118"/>
      <c r="J48" s="118">
        <f>+Colec!J5</f>
        <v>0.65277777777777801</v>
      </c>
      <c r="K48" s="117"/>
      <c r="L48" s="118"/>
      <c r="M48" s="118">
        <f>+Colec!J6</f>
        <v>0.65277777777777801</v>
      </c>
      <c r="N48" s="117"/>
      <c r="O48" s="118"/>
      <c r="P48" s="118">
        <f>+Colec!J7</f>
        <v>0.65277777777777801</v>
      </c>
      <c r="Q48" s="117"/>
      <c r="R48" s="120"/>
      <c r="S48" s="121"/>
      <c r="T48" s="117"/>
      <c r="U48" s="120"/>
      <c r="V48" s="122"/>
      <c r="W48" s="125" t="str">
        <f>IFERROR(AVERAGE(B48,E48,H48,K48,N48,Q48,T48),"")</f>
        <v/>
      </c>
      <c r="X48" s="126" t="str">
        <f t="shared" si="11"/>
        <v/>
      </c>
      <c r="Y48" s="126">
        <f t="shared" si="11"/>
        <v>0.52222222222222237</v>
      </c>
    </row>
    <row r="49" spans="1:25" ht="16.5" thickBot="1" x14ac:dyDescent="0.3">
      <c r="A49" s="109" t="s">
        <v>113</v>
      </c>
      <c r="B49" s="127"/>
      <c r="C49" s="118"/>
      <c r="D49" s="118">
        <f>+Colec!G16</f>
        <v>0</v>
      </c>
      <c r="E49" s="127"/>
      <c r="F49" s="118"/>
      <c r="G49" s="118">
        <f>+Colec!G17</f>
        <v>0.26736111111111116</v>
      </c>
      <c r="H49" s="127"/>
      <c r="I49" s="118"/>
      <c r="J49" s="118">
        <f>+Colec!G18</f>
        <v>0.25694444444444459</v>
      </c>
      <c r="K49" s="127"/>
      <c r="L49" s="118"/>
      <c r="M49" s="118">
        <f>+Colec!G19</f>
        <v>0.26180555555555579</v>
      </c>
      <c r="N49" s="127"/>
      <c r="O49" s="118"/>
      <c r="P49" s="118">
        <f>+Colec!G20</f>
        <v>0.26319444444444473</v>
      </c>
      <c r="Q49" s="127"/>
      <c r="R49" s="129"/>
      <c r="S49" s="130"/>
      <c r="T49" s="127"/>
      <c r="U49" s="129"/>
      <c r="V49" s="131"/>
      <c r="W49" s="132" t="str">
        <f>IFERROR(AVERAGE(B49,E49,H49,K49,N49,Q49,T49),"")</f>
        <v/>
      </c>
      <c r="X49" s="133" t="str">
        <f t="shared" si="11"/>
        <v/>
      </c>
      <c r="Y49" s="133">
        <f t="shared" si="11"/>
        <v>0.20986111111111128</v>
      </c>
    </row>
    <row r="50" spans="1:25" ht="16.5" thickBot="1" x14ac:dyDescent="0.3">
      <c r="A50" s="95" t="s">
        <v>61</v>
      </c>
      <c r="B50" s="182" t="s">
        <v>110</v>
      </c>
      <c r="C50" s="183"/>
      <c r="D50" s="184"/>
      <c r="E50" s="182" t="s">
        <v>110</v>
      </c>
      <c r="F50" s="183"/>
      <c r="G50" s="184"/>
      <c r="H50" s="182" t="s">
        <v>110</v>
      </c>
      <c r="I50" s="183"/>
      <c r="J50" s="184"/>
      <c r="K50" s="182" t="s">
        <v>110</v>
      </c>
      <c r="L50" s="183"/>
      <c r="M50" s="184"/>
      <c r="N50" s="182" t="s">
        <v>110</v>
      </c>
      <c r="O50" s="183"/>
      <c r="P50" s="184"/>
      <c r="Q50" s="182" t="s">
        <v>110</v>
      </c>
      <c r="R50" s="183"/>
      <c r="S50" s="184"/>
      <c r="T50" s="182" t="s">
        <v>110</v>
      </c>
      <c r="U50" s="183"/>
      <c r="V50" s="183"/>
      <c r="W50" s="199" t="s">
        <v>110</v>
      </c>
      <c r="X50" s="183"/>
      <c r="Y50" s="200"/>
    </row>
    <row r="51" spans="1:25" x14ac:dyDescent="0.25">
      <c r="A51" s="96" t="s">
        <v>111</v>
      </c>
      <c r="B51" s="117"/>
      <c r="C51" s="119">
        <f>+'P M'!D3</f>
        <v>0</v>
      </c>
      <c r="D51" s="119"/>
      <c r="E51" s="97"/>
      <c r="F51" s="143">
        <f>+'P M'!D4</f>
        <v>0.3125</v>
      </c>
      <c r="G51" s="143"/>
      <c r="H51" s="117"/>
      <c r="I51" s="174">
        <f>+'P M'!D5</f>
        <v>0.31597222222222221</v>
      </c>
      <c r="J51" s="174"/>
      <c r="K51" s="97"/>
      <c r="L51" s="143">
        <f>+'P M'!D6</f>
        <v>0.3125</v>
      </c>
      <c r="M51" s="143"/>
      <c r="N51" s="97"/>
      <c r="O51" s="143"/>
      <c r="P51" s="143">
        <f>+'P M'!D7</f>
        <v>0.3125</v>
      </c>
      <c r="Q51" s="97"/>
      <c r="R51" s="100"/>
      <c r="S51" s="101"/>
      <c r="T51" s="97"/>
      <c r="U51" s="100"/>
      <c r="V51" s="102"/>
      <c r="W51" s="103" t="str">
        <f>IFERROR(AVERAGE(B51,E51,H51,K51,N51,Q51,T51),"")</f>
        <v/>
      </c>
      <c r="X51" s="104">
        <f t="shared" ref="X51:Y53" si="12">IFERROR(AVERAGE(C51,F51,I51,L51,O51,R51,U51),"")</f>
        <v>0.23524305555555555</v>
      </c>
      <c r="Y51" s="104">
        <f t="shared" si="12"/>
        <v>0.3125</v>
      </c>
    </row>
    <row r="52" spans="1:25" x14ac:dyDescent="0.25">
      <c r="A52" s="96" t="s">
        <v>112</v>
      </c>
      <c r="B52" s="117"/>
      <c r="C52" s="119">
        <f>+'P M'!J3</f>
        <v>0</v>
      </c>
      <c r="D52" s="119"/>
      <c r="E52" s="97"/>
      <c r="F52" s="98">
        <f>+'P M'!J4</f>
        <v>0.65277777777777801</v>
      </c>
      <c r="G52" s="98"/>
      <c r="H52" s="117"/>
      <c r="I52" s="118">
        <f>+'P M'!J5</f>
        <v>0.65277777777777801</v>
      </c>
      <c r="J52" s="118"/>
      <c r="K52" s="97"/>
      <c r="L52" s="98">
        <f>+'P M'!J6</f>
        <v>0.65277777777777779</v>
      </c>
      <c r="M52" s="98"/>
      <c r="N52" s="97"/>
      <c r="O52" s="98"/>
      <c r="P52" s="98">
        <f>+'P M'!J7</f>
        <v>0.65277777777777779</v>
      </c>
      <c r="Q52" s="97"/>
      <c r="R52" s="100"/>
      <c r="S52" s="101"/>
      <c r="T52" s="97"/>
      <c r="U52" s="100"/>
      <c r="V52" s="102"/>
      <c r="W52" s="106" t="str">
        <f>IFERROR(AVERAGE(B52,E52,H52,K52,N52,Q52,T52),"")</f>
        <v/>
      </c>
      <c r="X52" s="107">
        <f t="shared" si="12"/>
        <v>0.48958333333333348</v>
      </c>
      <c r="Y52" s="107">
        <f t="shared" si="12"/>
        <v>0.65277777777777779</v>
      </c>
    </row>
    <row r="53" spans="1:25" ht="16.5" thickBot="1" x14ac:dyDescent="0.3">
      <c r="A53" s="109" t="s">
        <v>113</v>
      </c>
      <c r="B53" s="127"/>
      <c r="C53" s="119">
        <f>+'P M'!G16</f>
        <v>0</v>
      </c>
      <c r="D53" s="119"/>
      <c r="E53" s="110"/>
      <c r="F53" s="139">
        <f>+'P M'!G17</f>
        <v>0.26736111111111133</v>
      </c>
      <c r="G53" s="139"/>
      <c r="H53" s="127"/>
      <c r="I53" s="128">
        <f>+'P M'!G18</f>
        <v>0.26527777777777795</v>
      </c>
      <c r="J53" s="128"/>
      <c r="K53" s="110"/>
      <c r="L53" s="139">
        <f>+'P M'!G19</f>
        <v>0.2541666666666666</v>
      </c>
      <c r="M53" s="139"/>
      <c r="N53" s="110"/>
      <c r="O53" s="139"/>
      <c r="P53" s="139">
        <f>+'P M'!G20</f>
        <v>0.26041666666666669</v>
      </c>
      <c r="Q53" s="110"/>
      <c r="R53" s="111"/>
      <c r="S53" s="112"/>
      <c r="T53" s="110"/>
      <c r="U53" s="111"/>
      <c r="V53" s="113"/>
      <c r="W53" s="114" t="str">
        <f>IFERROR(AVERAGE(B53,E53,H53,K53,N53,Q53,T53),"")</f>
        <v/>
      </c>
      <c r="X53" s="115">
        <f t="shared" si="12"/>
        <v>0.19670138888888899</v>
      </c>
      <c r="Y53" s="115">
        <f t="shared" si="12"/>
        <v>0.26041666666666669</v>
      </c>
    </row>
    <row r="54" spans="1:25" ht="16.5" thickBot="1" x14ac:dyDescent="0.3">
      <c r="A54" s="95" t="s">
        <v>82</v>
      </c>
      <c r="B54" s="182" t="s">
        <v>110</v>
      </c>
      <c r="C54" s="183"/>
      <c r="D54" s="184"/>
      <c r="E54" s="182" t="s">
        <v>110</v>
      </c>
      <c r="F54" s="183"/>
      <c r="G54" s="184"/>
      <c r="H54" s="182" t="s">
        <v>110</v>
      </c>
      <c r="I54" s="183"/>
      <c r="J54" s="184"/>
      <c r="K54" s="182" t="s">
        <v>110</v>
      </c>
      <c r="L54" s="183"/>
      <c r="M54" s="184"/>
      <c r="N54" s="182" t="s">
        <v>110</v>
      </c>
      <c r="O54" s="183"/>
      <c r="P54" s="184"/>
      <c r="Q54" s="182" t="s">
        <v>110</v>
      </c>
      <c r="R54" s="183"/>
      <c r="S54" s="184"/>
      <c r="T54" s="182" t="s">
        <v>110</v>
      </c>
      <c r="U54" s="183"/>
      <c r="V54" s="183"/>
      <c r="W54" s="199" t="s">
        <v>110</v>
      </c>
      <c r="X54" s="183"/>
      <c r="Y54" s="200"/>
    </row>
    <row r="55" spans="1:25" x14ac:dyDescent="0.25">
      <c r="A55" s="96" t="s">
        <v>111</v>
      </c>
      <c r="B55" s="117"/>
      <c r="C55" s="118"/>
      <c r="D55" s="118">
        <f>+'Vent '!D3</f>
        <v>0</v>
      </c>
      <c r="E55" s="117"/>
      <c r="F55" s="118"/>
      <c r="G55" s="118">
        <f>+'Vent '!D4</f>
        <v>0.64583333333333337</v>
      </c>
      <c r="H55" s="117"/>
      <c r="I55" s="118"/>
      <c r="J55" s="118">
        <f>+'Vent '!G5</f>
        <v>0.90416666666666667</v>
      </c>
      <c r="K55" s="117"/>
      <c r="L55" s="118"/>
      <c r="M55" s="118">
        <f>+'Vent '!D6</f>
        <v>0.64583333333333337</v>
      </c>
      <c r="N55" s="117"/>
      <c r="O55" s="118"/>
      <c r="P55" s="118">
        <f>+'Vent '!D7</f>
        <v>0.64583333333333337</v>
      </c>
      <c r="Q55" s="117"/>
      <c r="R55" s="120"/>
      <c r="S55" s="121"/>
      <c r="T55" s="117"/>
      <c r="U55" s="120"/>
      <c r="V55" s="122"/>
      <c r="W55" s="123" t="str">
        <f>IFERROR(AVERAGE(B55,E55,H55,K55,N55,Q55,T55),"")</f>
        <v/>
      </c>
      <c r="X55" s="124" t="str">
        <f t="shared" ref="X55:Y57" si="13">IFERROR(AVERAGE(C55,F55,I55,L55,O55,R55,U55),"")</f>
        <v/>
      </c>
      <c r="Y55" s="148">
        <f t="shared" si="13"/>
        <v>0.56833333333333336</v>
      </c>
    </row>
    <row r="56" spans="1:25" x14ac:dyDescent="0.25">
      <c r="A56" s="96" t="s">
        <v>112</v>
      </c>
      <c r="B56" s="117"/>
      <c r="C56" s="118"/>
      <c r="D56" s="118">
        <f>+'Vent '!J3</f>
        <v>0</v>
      </c>
      <c r="E56" s="117"/>
      <c r="F56" s="118"/>
      <c r="G56" s="118">
        <f>+'Vent '!J4</f>
        <v>0.98611111111111116</v>
      </c>
      <c r="H56" s="117"/>
      <c r="I56" s="118"/>
      <c r="J56" s="118">
        <f>+'Vent '!J5</f>
        <v>0.98611111111111105</v>
      </c>
      <c r="K56" s="117"/>
      <c r="L56" s="118"/>
      <c r="M56" s="118">
        <f>+'Vent '!J6</f>
        <v>0.98611111111111105</v>
      </c>
      <c r="N56" s="117"/>
      <c r="O56" s="118"/>
      <c r="P56" s="118">
        <f>+'Vent '!J7</f>
        <v>0.98611111111111105</v>
      </c>
      <c r="Q56" s="117"/>
      <c r="R56" s="120"/>
      <c r="S56" s="121"/>
      <c r="T56" s="117"/>
      <c r="U56" s="120"/>
      <c r="V56" s="122"/>
      <c r="W56" s="125" t="str">
        <f>IFERROR(AVERAGE(B56,E56,H56,K56,N56,Q56,T56),"")</f>
        <v/>
      </c>
      <c r="X56" s="126" t="str">
        <f t="shared" si="13"/>
        <v/>
      </c>
      <c r="Y56" s="149">
        <f t="shared" si="13"/>
        <v>0.78888888888888897</v>
      </c>
    </row>
    <row r="57" spans="1:25" ht="16.5" thickBot="1" x14ac:dyDescent="0.3">
      <c r="A57" s="109" t="s">
        <v>113</v>
      </c>
      <c r="B57" s="127"/>
      <c r="C57" s="118"/>
      <c r="D57" s="118">
        <f>+'Vent '!G16</f>
        <v>0</v>
      </c>
      <c r="E57" s="127"/>
      <c r="F57" s="118"/>
      <c r="G57" s="118">
        <f>+'Vent '!G17</f>
        <v>0.25347222222222232</v>
      </c>
      <c r="H57" s="127"/>
      <c r="I57" s="118"/>
      <c r="J57" s="118">
        <f>+'Vent '!G18</f>
        <v>0.25138888888888888</v>
      </c>
      <c r="K57" s="127"/>
      <c r="L57" s="118"/>
      <c r="M57" s="118">
        <f>+'Vent '!G19</f>
        <v>0.25138888888888888</v>
      </c>
      <c r="N57" s="127"/>
      <c r="O57" s="118"/>
      <c r="P57" s="118">
        <f>+'Vent '!G20</f>
        <v>0.25624999999999998</v>
      </c>
      <c r="Q57" s="127"/>
      <c r="R57" s="129"/>
      <c r="S57" s="130"/>
      <c r="T57" s="127"/>
      <c r="U57" s="129"/>
      <c r="V57" s="131"/>
      <c r="W57" s="132" t="str">
        <f>IFERROR(AVERAGE(B57,E57,H57,K57,N57,Q57,T57),"")</f>
        <v/>
      </c>
      <c r="X57" s="133" t="str">
        <f t="shared" si="13"/>
        <v/>
      </c>
      <c r="Y57" s="150">
        <f>IFERROR(AVERAGE(D57,G57,J57,M57,P57,S57,V57),"")</f>
        <v>0.20250000000000004</v>
      </c>
    </row>
    <row r="58" spans="1:25" ht="16.5" thickBot="1" x14ac:dyDescent="0.3">
      <c r="A58" s="95" t="s">
        <v>121</v>
      </c>
      <c r="B58" s="182" t="s">
        <v>110</v>
      </c>
      <c r="C58" s="183"/>
      <c r="D58" s="184"/>
      <c r="E58" s="182" t="s">
        <v>110</v>
      </c>
      <c r="F58" s="183"/>
      <c r="G58" s="184"/>
      <c r="H58" s="182" t="s">
        <v>110</v>
      </c>
      <c r="I58" s="183"/>
      <c r="J58" s="184"/>
      <c r="K58" s="182" t="s">
        <v>110</v>
      </c>
      <c r="L58" s="183"/>
      <c r="M58" s="184"/>
      <c r="N58" s="182" t="s">
        <v>110</v>
      </c>
      <c r="O58" s="183"/>
      <c r="P58" s="184"/>
      <c r="Q58" s="182" t="s">
        <v>110</v>
      </c>
      <c r="R58" s="183"/>
      <c r="S58" s="184"/>
      <c r="T58" s="182" t="s">
        <v>110</v>
      </c>
      <c r="U58" s="183"/>
      <c r="V58" s="183"/>
      <c r="W58" s="199" t="s">
        <v>110</v>
      </c>
      <c r="X58" s="183"/>
      <c r="Y58" s="184"/>
    </row>
    <row r="59" spans="1:25" x14ac:dyDescent="0.25">
      <c r="A59" s="96" t="s">
        <v>111</v>
      </c>
      <c r="B59" s="117"/>
      <c r="C59" s="118">
        <f>+ACCU!D3</f>
        <v>0.33680555555555558</v>
      </c>
      <c r="D59" s="121"/>
      <c r="E59" s="97"/>
      <c r="F59" s="98">
        <f>+ACCU!D4</f>
        <v>0.33680555555555558</v>
      </c>
      <c r="G59" s="101"/>
      <c r="H59" s="117"/>
      <c r="I59" s="118">
        <f>+ACCU!D5</f>
        <v>0.33680555555555558</v>
      </c>
      <c r="J59" s="121"/>
      <c r="K59" s="97"/>
      <c r="L59" s="98">
        <f>+ACCU!D6</f>
        <v>0.33680555555555602</v>
      </c>
      <c r="M59" s="101"/>
      <c r="N59" s="97"/>
      <c r="O59" s="98">
        <f>+ACCU!D7</f>
        <v>0.33680555555555602</v>
      </c>
      <c r="P59" s="101"/>
      <c r="Q59" s="97"/>
      <c r="R59" s="100"/>
      <c r="S59" s="101"/>
      <c r="T59" s="97"/>
      <c r="U59" s="100"/>
      <c r="V59" s="102"/>
      <c r="W59" s="103" t="str">
        <f>IFERROR(AVERAGE(B59,E59,H59,K59,N59,Q59,T59),"")</f>
        <v/>
      </c>
      <c r="X59" s="104">
        <f t="shared" ref="X59:Y61" si="14">IFERROR(AVERAGE(C59,F59,I59,L59,O59,R59,U59),"")</f>
        <v>0.33680555555555575</v>
      </c>
      <c r="Y59" s="140" t="str">
        <f t="shared" si="14"/>
        <v/>
      </c>
    </row>
    <row r="60" spans="1:25" x14ac:dyDescent="0.25">
      <c r="A60" s="96" t="s">
        <v>112</v>
      </c>
      <c r="B60" s="117"/>
      <c r="C60" s="118">
        <f>+ACCU!J3</f>
        <v>0.83333333333333337</v>
      </c>
      <c r="D60" s="121"/>
      <c r="E60" s="97"/>
      <c r="F60" s="98">
        <f>+ACCU!J4</f>
        <v>0.83333333333333337</v>
      </c>
      <c r="G60" s="101"/>
      <c r="H60" s="117"/>
      <c r="I60" s="118">
        <f>+ACCU!J5</f>
        <v>0.83333333333333304</v>
      </c>
      <c r="J60" s="121"/>
      <c r="K60" s="97"/>
      <c r="L60" s="98">
        <f>+ACCU!J6</f>
        <v>0.83333333333333304</v>
      </c>
      <c r="M60" s="101"/>
      <c r="N60" s="97"/>
      <c r="O60" s="98">
        <f>+ACCU!J7</f>
        <v>0.83333333333333304</v>
      </c>
      <c r="P60" s="101"/>
      <c r="Q60" s="97"/>
      <c r="R60" s="100"/>
      <c r="S60" s="101"/>
      <c r="T60" s="97"/>
      <c r="U60" s="100"/>
      <c r="V60" s="102"/>
      <c r="W60" s="106" t="str">
        <f>IFERROR(AVERAGE(B60,E60,H60,K60,N60,Q60,T60),"")</f>
        <v/>
      </c>
      <c r="X60" s="107">
        <f t="shared" si="14"/>
        <v>0.83333333333333326</v>
      </c>
      <c r="Y60" s="141" t="str">
        <f t="shared" si="14"/>
        <v/>
      </c>
    </row>
    <row r="61" spans="1:25" ht="16.5" thickBot="1" x14ac:dyDescent="0.3">
      <c r="A61" s="109" t="s">
        <v>113</v>
      </c>
      <c r="B61" s="127"/>
      <c r="C61" s="128">
        <f>+ACCU!G16</f>
        <v>0.44097222222222227</v>
      </c>
      <c r="D61" s="130"/>
      <c r="E61" s="110"/>
      <c r="F61" s="139">
        <f>+ACCU!G17</f>
        <v>0.43958333333333327</v>
      </c>
      <c r="G61" s="112"/>
      <c r="H61" s="127"/>
      <c r="I61" s="128">
        <f>+ACCU!G18</f>
        <v>0.45069444444444412</v>
      </c>
      <c r="J61" s="130"/>
      <c r="K61" s="110"/>
      <c r="L61" s="139">
        <f>+ACCU!G19</f>
        <v>0.43611111111111084</v>
      </c>
      <c r="M61" s="112"/>
      <c r="N61" s="110"/>
      <c r="O61" s="139">
        <f>+ACCU!G20</f>
        <v>0.4347222222222219</v>
      </c>
      <c r="P61" s="112"/>
      <c r="Q61" s="110"/>
      <c r="R61" s="111"/>
      <c r="S61" s="112"/>
      <c r="T61" s="110"/>
      <c r="U61" s="111"/>
      <c r="V61" s="113"/>
      <c r="W61" s="114" t="str">
        <f>IFERROR(AVERAGE(B61,E61,H61,K61,N61,Q61,T61),"")</f>
        <v/>
      </c>
      <c r="X61" s="115">
        <f>IFERROR(AVERAGE(C61,F61,I61,L61,O61,R61,U61),"")</f>
        <v>0.44041666666666651</v>
      </c>
      <c r="Y61" s="142" t="str">
        <f t="shared" si="14"/>
        <v/>
      </c>
    </row>
  </sheetData>
  <mergeCells count="120">
    <mergeCell ref="Q58:S58"/>
    <mergeCell ref="T58:V58"/>
    <mergeCell ref="W58:Y58"/>
    <mergeCell ref="B58:D58"/>
    <mergeCell ref="E58:G58"/>
    <mergeCell ref="H58:J58"/>
    <mergeCell ref="K58:M58"/>
    <mergeCell ref="N58:P58"/>
    <mergeCell ref="K54:M54"/>
    <mergeCell ref="N54:P54"/>
    <mergeCell ref="Q54:S54"/>
    <mergeCell ref="T54:V54"/>
    <mergeCell ref="W54:Y54"/>
    <mergeCell ref="K50:M50"/>
    <mergeCell ref="N50:P50"/>
    <mergeCell ref="Q50:S50"/>
    <mergeCell ref="T50:V50"/>
    <mergeCell ref="W50:Y50"/>
    <mergeCell ref="K46:M46"/>
    <mergeCell ref="N46:P46"/>
    <mergeCell ref="Q46:S46"/>
    <mergeCell ref="T46:V46"/>
    <mergeCell ref="W46:Y46"/>
    <mergeCell ref="Q38:S38"/>
    <mergeCell ref="T38:V38"/>
    <mergeCell ref="W38:Y38"/>
    <mergeCell ref="B42:D42"/>
    <mergeCell ref="E42:G42"/>
    <mergeCell ref="H42:J42"/>
    <mergeCell ref="K42:M42"/>
    <mergeCell ref="N42:P42"/>
    <mergeCell ref="Q42:S42"/>
    <mergeCell ref="T42:V42"/>
    <mergeCell ref="W42:Y42"/>
    <mergeCell ref="B38:D38"/>
    <mergeCell ref="E38:G38"/>
    <mergeCell ref="H38:J38"/>
    <mergeCell ref="K38:M38"/>
    <mergeCell ref="N38:P38"/>
    <mergeCell ref="B26:D26"/>
    <mergeCell ref="E26:G26"/>
    <mergeCell ref="H26:J26"/>
    <mergeCell ref="K34:M34"/>
    <mergeCell ref="N34:P34"/>
    <mergeCell ref="Q34:S34"/>
    <mergeCell ref="T34:V34"/>
    <mergeCell ref="W34:Y34"/>
    <mergeCell ref="K30:M30"/>
    <mergeCell ref="N30:P30"/>
    <mergeCell ref="Q30:S30"/>
    <mergeCell ref="T30:V30"/>
    <mergeCell ref="W30:Y30"/>
    <mergeCell ref="B22:D22"/>
    <mergeCell ref="E22:G22"/>
    <mergeCell ref="H22:J22"/>
    <mergeCell ref="K22:M22"/>
    <mergeCell ref="N22:P22"/>
    <mergeCell ref="Q22:S22"/>
    <mergeCell ref="T22:V22"/>
    <mergeCell ref="W22:Y22"/>
    <mergeCell ref="B18:D18"/>
    <mergeCell ref="E18:G18"/>
    <mergeCell ref="H18:J18"/>
    <mergeCell ref="K18:M18"/>
    <mergeCell ref="N18:P18"/>
    <mergeCell ref="T14:V14"/>
    <mergeCell ref="W14:Y14"/>
    <mergeCell ref="K26:M26"/>
    <mergeCell ref="N26:P26"/>
    <mergeCell ref="Q26:S26"/>
    <mergeCell ref="T26:V26"/>
    <mergeCell ref="W26:Y26"/>
    <mergeCell ref="Q18:S18"/>
    <mergeCell ref="T18:V18"/>
    <mergeCell ref="W18:Y18"/>
    <mergeCell ref="T4:V4"/>
    <mergeCell ref="W4:Y4"/>
    <mergeCell ref="B4:D4"/>
    <mergeCell ref="E4:G4"/>
    <mergeCell ref="H4:J4"/>
    <mergeCell ref="B6:D6"/>
    <mergeCell ref="E6:G6"/>
    <mergeCell ref="H6:J6"/>
    <mergeCell ref="K10:M10"/>
    <mergeCell ref="N10:P10"/>
    <mergeCell ref="Q10:S10"/>
    <mergeCell ref="T10:V10"/>
    <mergeCell ref="W10:Y10"/>
    <mergeCell ref="K6:M6"/>
    <mergeCell ref="N6:P6"/>
    <mergeCell ref="Q6:S6"/>
    <mergeCell ref="T6:V6"/>
    <mergeCell ref="W6:Y6"/>
    <mergeCell ref="B10:D10"/>
    <mergeCell ref="E10:G10"/>
    <mergeCell ref="H10:J10"/>
    <mergeCell ref="B14:D14"/>
    <mergeCell ref="E14:G14"/>
    <mergeCell ref="H14:J14"/>
    <mergeCell ref="K4:M4"/>
    <mergeCell ref="N4:P4"/>
    <mergeCell ref="Q4:S4"/>
    <mergeCell ref="K14:M14"/>
    <mergeCell ref="N14:P14"/>
    <mergeCell ref="Q14:S14"/>
    <mergeCell ref="B50:D50"/>
    <mergeCell ref="E50:G50"/>
    <mergeCell ref="H50:J50"/>
    <mergeCell ref="B54:D54"/>
    <mergeCell ref="E54:G54"/>
    <mergeCell ref="H54:J54"/>
    <mergeCell ref="B30:D30"/>
    <mergeCell ref="E30:G30"/>
    <mergeCell ref="H30:J30"/>
    <mergeCell ref="B34:D34"/>
    <mergeCell ref="E34:G34"/>
    <mergeCell ref="H34:J34"/>
    <mergeCell ref="B46:D46"/>
    <mergeCell ref="E46:G46"/>
    <mergeCell ref="H46:J46"/>
  </mergeCells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6:AC11"/>
  <sheetViews>
    <sheetView workbookViewId="0">
      <selection activeCell="AD13" sqref="AD13"/>
    </sheetView>
  </sheetViews>
  <sheetFormatPr baseColWidth="10" defaultRowHeight="15.75" x14ac:dyDescent="0.25"/>
  <cols>
    <col min="1" max="1" width="3.125" customWidth="1"/>
    <col min="2" max="2" width="28.875" bestFit="1" customWidth="1"/>
    <col min="3" max="24" width="3.375" customWidth="1"/>
    <col min="25" max="25" width="4.25" customWidth="1"/>
    <col min="26" max="26" width="3.375" customWidth="1"/>
    <col min="27" max="27" width="15" bestFit="1" customWidth="1"/>
    <col min="29" max="29" width="12.25" customWidth="1"/>
  </cols>
  <sheetData>
    <row r="6" spans="2:29" ht="16.5" thickBot="1" x14ac:dyDescent="0.3"/>
    <row r="7" spans="2:29" ht="16.5" thickBot="1" x14ac:dyDescent="0.3">
      <c r="B7" s="156"/>
      <c r="C7" s="207">
        <f>'TTE 6 '!C3</f>
        <v>44824</v>
      </c>
      <c r="D7" s="208"/>
      <c r="E7" s="208"/>
      <c r="F7" s="207">
        <f>+'TTE 6 '!C4</f>
        <v>44825</v>
      </c>
      <c r="G7" s="208"/>
      <c r="H7" s="208"/>
      <c r="I7" s="207">
        <f>'TTE 6 '!C5</f>
        <v>44826</v>
      </c>
      <c r="J7" s="208"/>
      <c r="K7" s="208"/>
      <c r="L7" s="207">
        <f>'TTE 6 '!C6</f>
        <v>44827</v>
      </c>
      <c r="M7" s="208"/>
      <c r="N7" s="208"/>
      <c r="O7" s="207">
        <f>+'TTE 6 '!C7</f>
        <v>44828</v>
      </c>
      <c r="P7" s="208"/>
      <c r="Q7" s="208"/>
      <c r="R7" s="207">
        <f>'TTE 6 '!C8</f>
        <v>44829</v>
      </c>
      <c r="S7" s="208"/>
      <c r="T7" s="208"/>
      <c r="U7" s="207">
        <f>'TTE 6 '!C9</f>
        <v>44830</v>
      </c>
      <c r="V7" s="208"/>
      <c r="W7" s="208"/>
      <c r="X7" s="209" t="s">
        <v>107</v>
      </c>
      <c r="Y7" s="210"/>
      <c r="Z7" s="211"/>
      <c r="AA7" s="212" t="s">
        <v>122</v>
      </c>
      <c r="AC7" s="201" t="s">
        <v>128</v>
      </c>
    </row>
    <row r="8" spans="2:29" ht="16.5" thickBot="1" x14ac:dyDescent="0.3">
      <c r="B8" s="156"/>
      <c r="C8" s="161" t="s">
        <v>108</v>
      </c>
      <c r="D8" s="162" t="s">
        <v>103</v>
      </c>
      <c r="E8" s="163" t="s">
        <v>104</v>
      </c>
      <c r="F8" s="161" t="s">
        <v>108</v>
      </c>
      <c r="G8" s="162" t="s">
        <v>103</v>
      </c>
      <c r="H8" s="163" t="s">
        <v>104</v>
      </c>
      <c r="I8" s="161" t="s">
        <v>108</v>
      </c>
      <c r="J8" s="162" t="s">
        <v>103</v>
      </c>
      <c r="K8" s="163" t="s">
        <v>104</v>
      </c>
      <c r="L8" s="161" t="s">
        <v>108</v>
      </c>
      <c r="M8" s="162" t="s">
        <v>103</v>
      </c>
      <c r="N8" s="163" t="s">
        <v>104</v>
      </c>
      <c r="O8" s="161" t="s">
        <v>108</v>
      </c>
      <c r="P8" s="162" t="s">
        <v>103</v>
      </c>
      <c r="Q8" s="163" t="s">
        <v>104</v>
      </c>
      <c r="R8" s="161" t="s">
        <v>108</v>
      </c>
      <c r="S8" s="162" t="s">
        <v>103</v>
      </c>
      <c r="T8" s="163" t="s">
        <v>104</v>
      </c>
      <c r="U8" s="161" t="s">
        <v>108</v>
      </c>
      <c r="V8" s="162" t="s">
        <v>103</v>
      </c>
      <c r="W8" s="163" t="s">
        <v>104</v>
      </c>
      <c r="X8" s="161" t="s">
        <v>108</v>
      </c>
      <c r="Y8" s="162" t="s">
        <v>103</v>
      </c>
      <c r="Z8" s="170" t="s">
        <v>104</v>
      </c>
      <c r="AA8" s="213"/>
      <c r="AC8" s="202"/>
    </row>
    <row r="9" spans="2:29" ht="16.5" thickBot="1" x14ac:dyDescent="0.3">
      <c r="B9" s="157" t="s">
        <v>123</v>
      </c>
      <c r="C9" s="204" t="s">
        <v>124</v>
      </c>
      <c r="D9" s="205"/>
      <c r="E9" s="206"/>
      <c r="F9" s="204" t="s">
        <v>124</v>
      </c>
      <c r="G9" s="205"/>
      <c r="H9" s="206"/>
      <c r="I9" s="204" t="s">
        <v>124</v>
      </c>
      <c r="J9" s="205"/>
      <c r="K9" s="206"/>
      <c r="L9" s="204" t="s">
        <v>124</v>
      </c>
      <c r="M9" s="205"/>
      <c r="N9" s="206"/>
      <c r="O9" s="204" t="s">
        <v>124</v>
      </c>
      <c r="P9" s="205"/>
      <c r="Q9" s="206"/>
      <c r="R9" s="204" t="s">
        <v>124</v>
      </c>
      <c r="S9" s="205"/>
      <c r="T9" s="206"/>
      <c r="U9" s="204" t="s">
        <v>124</v>
      </c>
      <c r="V9" s="205"/>
      <c r="W9" s="206"/>
      <c r="X9" s="204" t="s">
        <v>124</v>
      </c>
      <c r="Y9" s="205"/>
      <c r="Z9" s="205"/>
      <c r="AA9" s="158" t="s">
        <v>125</v>
      </c>
      <c r="AC9" s="203"/>
    </row>
    <row r="10" spans="2:29" ht="27.75" thickBot="1" x14ac:dyDescent="0.3">
      <c r="B10" s="159" t="s">
        <v>126</v>
      </c>
      <c r="C10" s="167"/>
      <c r="D10" s="168"/>
      <c r="E10" s="169"/>
      <c r="F10" s="167"/>
      <c r="G10" s="168">
        <v>0</v>
      </c>
      <c r="H10" s="169"/>
      <c r="I10" s="167"/>
      <c r="J10" s="168">
        <v>0</v>
      </c>
      <c r="K10" s="169"/>
      <c r="L10" s="167"/>
      <c r="M10" s="168">
        <v>0</v>
      </c>
      <c r="N10" s="169"/>
      <c r="O10" s="167"/>
      <c r="P10" s="168">
        <v>0</v>
      </c>
      <c r="Q10" s="169"/>
      <c r="R10" s="167"/>
      <c r="S10" s="168"/>
      <c r="T10" s="169"/>
      <c r="U10" s="167"/>
      <c r="V10" s="168"/>
      <c r="W10" s="169"/>
      <c r="X10" s="154">
        <f>C10+F10+I10+L10+O10+R10+U10</f>
        <v>0</v>
      </c>
      <c r="Y10" s="154">
        <f>D10+G10+J10+M10+P10+S10+V10</f>
        <v>0</v>
      </c>
      <c r="Z10" s="171">
        <f>E10+H10+K10+N10+Q10+T10+W10</f>
        <v>0</v>
      </c>
      <c r="AA10" s="173">
        <f>X10+Y10+Z10</f>
        <v>0</v>
      </c>
      <c r="AB10">
        <f>AA10/AC10</f>
        <v>0</v>
      </c>
      <c r="AC10" s="175">
        <v>15</v>
      </c>
    </row>
    <row r="11" spans="2:29" ht="27.75" thickBot="1" x14ac:dyDescent="0.3">
      <c r="B11" s="160" t="s">
        <v>127</v>
      </c>
      <c r="C11" s="164"/>
      <c r="D11" s="165"/>
      <c r="E11" s="166"/>
      <c r="F11" s="164"/>
      <c r="G11" s="165"/>
      <c r="H11" s="166">
        <v>1</v>
      </c>
      <c r="I11" s="164"/>
      <c r="J11" s="165"/>
      <c r="K11" s="166">
        <v>4</v>
      </c>
      <c r="L11" s="164"/>
      <c r="M11" s="165"/>
      <c r="N11" s="166">
        <v>3</v>
      </c>
      <c r="O11" s="164"/>
      <c r="P11" s="165"/>
      <c r="Q11" s="166">
        <v>4</v>
      </c>
      <c r="R11" s="164"/>
      <c r="S11" s="165"/>
      <c r="T11" s="166"/>
      <c r="U11" s="164"/>
      <c r="V11" s="165"/>
      <c r="W11" s="166"/>
      <c r="X11" s="155">
        <f>C11+F11+I11+L11+O11+R11+C11</f>
        <v>0</v>
      </c>
      <c r="Y11" s="155">
        <f>D11+G11+J11+M11+P11+S11+V11</f>
        <v>0</v>
      </c>
      <c r="Z11" s="155">
        <f>E11+H11+K11+N11+Q11+T11+W11</f>
        <v>12</v>
      </c>
      <c r="AA11" s="172">
        <f>X11+Y11+Z11</f>
        <v>12</v>
      </c>
      <c r="AB11">
        <f>AA11/AC11</f>
        <v>0.8</v>
      </c>
      <c r="AC11" s="176">
        <v>15</v>
      </c>
    </row>
  </sheetData>
  <mergeCells count="18">
    <mergeCell ref="C7:E7"/>
    <mergeCell ref="C9:E9"/>
    <mergeCell ref="AC7:AC9"/>
    <mergeCell ref="U9:W9"/>
    <mergeCell ref="X9:Z9"/>
    <mergeCell ref="U7:W7"/>
    <mergeCell ref="F7:H7"/>
    <mergeCell ref="I7:K7"/>
    <mergeCell ref="L7:N7"/>
    <mergeCell ref="O7:Q7"/>
    <mergeCell ref="X7:Z7"/>
    <mergeCell ref="R7:T7"/>
    <mergeCell ref="F9:H9"/>
    <mergeCell ref="I9:K9"/>
    <mergeCell ref="L9:N9"/>
    <mergeCell ref="O9:Q9"/>
    <mergeCell ref="R9:T9"/>
    <mergeCell ref="AA7:AA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M28" sqref="M28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B27" sqref="B27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2"/>
  <sheetViews>
    <sheetView showGridLines="0" zoomScale="60" zoomScaleNormal="60" workbookViewId="0">
      <selection activeCell="D13" sqref="D13"/>
    </sheetView>
  </sheetViews>
  <sheetFormatPr baseColWidth="10" defaultRowHeight="15.75" x14ac:dyDescent="0.25"/>
  <cols>
    <col min="1" max="1" width="11.25" customWidth="1"/>
    <col min="2" max="2" width="7.75" customWidth="1"/>
    <col min="3" max="3" width="13.625" customWidth="1"/>
    <col min="4" max="4" width="15.75" customWidth="1"/>
    <col min="5" max="5" width="14.625" customWidth="1"/>
    <col min="6" max="6" width="14.375" customWidth="1"/>
    <col min="7" max="7" width="14.625" customWidth="1"/>
    <col min="8" max="8" width="15.125" customWidth="1"/>
    <col min="9" max="9" width="14.875" customWidth="1"/>
    <col min="10" max="10" width="16.25" customWidth="1"/>
    <col min="11" max="11" width="27.25" customWidth="1"/>
    <col min="12" max="12" width="15.375" customWidth="1"/>
    <col min="13" max="14" width="11.25" customWidth="1"/>
    <col min="15" max="15" width="17.125" bestFit="1" customWidth="1"/>
    <col min="16" max="16" width="15.25" bestFit="1" customWidth="1"/>
    <col min="17" max="17" width="25.25" bestFit="1" customWidth="1"/>
    <col min="18" max="18" width="19.25" customWidth="1"/>
    <col min="19" max="19" width="16.125" customWidth="1"/>
    <col min="20" max="20" width="13.875" bestFit="1" customWidth="1"/>
    <col min="21" max="21" width="18.875" bestFit="1" customWidth="1"/>
    <col min="22" max="22" width="14.25" customWidth="1"/>
    <col min="23" max="29" width="13.62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31.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95</v>
      </c>
      <c r="B3" s="12" t="s">
        <v>37</v>
      </c>
      <c r="C3" s="4">
        <f>+Tabla5[[#This Row],[FECHA]]</f>
        <v>44824</v>
      </c>
      <c r="D3" s="37"/>
      <c r="E3" s="37"/>
      <c r="F3" s="37"/>
      <c r="G3" s="46"/>
      <c r="H3" s="46"/>
      <c r="I3" s="46"/>
      <c r="J3" s="46"/>
      <c r="K3" s="47" t="s">
        <v>90</v>
      </c>
      <c r="L3" s="53"/>
      <c r="M3" s="53"/>
      <c r="N3" s="52" t="s">
        <v>15</v>
      </c>
      <c r="O3" s="4">
        <f>Tabla513[[#This Row],[FECHA]]</f>
        <v>44824</v>
      </c>
      <c r="P3" s="7">
        <f>D3</f>
        <v>0</v>
      </c>
      <c r="Q3" s="7">
        <f>E3-D3</f>
        <v>0</v>
      </c>
      <c r="R3" s="7">
        <f>F3-E3</f>
        <v>0</v>
      </c>
      <c r="S3" s="7">
        <f>G3-F3</f>
        <v>0</v>
      </c>
      <c r="T3" s="7">
        <f>+Tabla513[[#This Row],[ALMUERZO]]-Tabla513[[#This Row],[TERMINO ACT. AM]]</f>
        <v>0</v>
      </c>
      <c r="U3" s="7">
        <f>+Tabla513[[#This Row],[INICIO ACTIVIDADES PM]]-Tabla513[[#This Row],[ALMUERZO]]</f>
        <v>0</v>
      </c>
      <c r="V3" s="7">
        <f>+Tabla513[[#This Row],[TERMINO ACTIVIDADES PM]]-Tabla513[[#This Row],[INICIO ACTIVIDADES PM]]</f>
        <v>0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95</v>
      </c>
      <c r="B4" s="12" t="s">
        <v>26</v>
      </c>
      <c r="C4" s="4">
        <f>+Tabla5[[#This Row],[FECHA]]</f>
        <v>44825</v>
      </c>
      <c r="D4" s="37">
        <v>0.68958333333333333</v>
      </c>
      <c r="E4" s="37">
        <v>0.7104166666666667</v>
      </c>
      <c r="F4" s="37">
        <v>0.71875</v>
      </c>
      <c r="G4" s="46">
        <v>0.94166666666666676</v>
      </c>
      <c r="H4" s="46">
        <v>0.94791666666666663</v>
      </c>
      <c r="I4" s="46">
        <v>0.97222222222222221</v>
      </c>
      <c r="J4" s="46">
        <v>0.99305555555555547</v>
      </c>
      <c r="K4" s="47" t="s">
        <v>90</v>
      </c>
      <c r="M4" s="5"/>
      <c r="N4" s="5" t="s">
        <v>16</v>
      </c>
      <c r="O4" s="4">
        <f>Tabla513[[#This Row],[FECHA]]</f>
        <v>44825</v>
      </c>
      <c r="P4" s="7">
        <f>D4</f>
        <v>0.68958333333333333</v>
      </c>
      <c r="Q4" s="7">
        <f t="shared" ref="Q4:S7" si="0">E4-D4</f>
        <v>2.083333333333337E-2</v>
      </c>
      <c r="R4" s="7">
        <f t="shared" si="0"/>
        <v>8.3333333333333037E-3</v>
      </c>
      <c r="S4" s="7">
        <f t="shared" si="0"/>
        <v>0.22291666666666676</v>
      </c>
      <c r="T4" s="7">
        <f>+Tabla513[[#This Row],[ALMUERZO]]-Tabla513[[#This Row],[TERMINO ACT. AM]]</f>
        <v>6.2499999999998668E-3</v>
      </c>
      <c r="U4" s="7">
        <f>+Tabla513[[#This Row],[INICIO ACTIVIDADES PM]]-Tabla513[[#This Row],[ALMUERZO]]</f>
        <v>2.430555555555558E-2</v>
      </c>
      <c r="V4" s="7">
        <f>+Tabla513[[#This Row],[TERMINO ACTIVIDADES PM]]-Tabla513[[#This Row],[INICIO ACTIVIDADES PM]]</f>
        <v>2.0833333333333259E-2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95</v>
      </c>
      <c r="B5" s="12" t="s">
        <v>27</v>
      </c>
      <c r="C5" s="4">
        <f>+Tabla5[[#This Row],[FECHA]]</f>
        <v>44826</v>
      </c>
      <c r="D5" s="37">
        <v>0.68402777777777779</v>
      </c>
      <c r="E5" s="37">
        <v>0.70138888888888884</v>
      </c>
      <c r="F5" s="37">
        <v>0.71458333333333324</v>
      </c>
      <c r="G5" s="46">
        <v>0.94930555555555562</v>
      </c>
      <c r="H5" s="46">
        <v>0.95486111111111116</v>
      </c>
      <c r="I5" s="46">
        <v>0.97916666666666663</v>
      </c>
      <c r="J5" s="46">
        <v>0.99305555555555547</v>
      </c>
      <c r="K5" s="47" t="s">
        <v>90</v>
      </c>
      <c r="M5" s="5"/>
      <c r="N5" s="5" t="s">
        <v>16</v>
      </c>
      <c r="O5" s="4">
        <f>Tabla513[[#This Row],[FECHA]]</f>
        <v>44826</v>
      </c>
      <c r="P5" s="7">
        <f>D5</f>
        <v>0.68402777777777779</v>
      </c>
      <c r="Q5" s="7">
        <f t="shared" si="0"/>
        <v>1.7361111111111049E-2</v>
      </c>
      <c r="R5" s="7">
        <f t="shared" si="0"/>
        <v>1.3194444444444398E-2</v>
      </c>
      <c r="S5" s="7">
        <f t="shared" si="0"/>
        <v>0.23472222222222239</v>
      </c>
      <c r="T5" s="7">
        <f>+Tabla513[[#This Row],[ALMUERZO]]-Tabla513[[#This Row],[TERMINO ACT. AM]]</f>
        <v>5.5555555555555358E-3</v>
      </c>
      <c r="U5" s="7">
        <f>+Tabla513[[#This Row],[INICIO ACTIVIDADES PM]]-Tabla513[[#This Row],[ALMUERZO]]</f>
        <v>2.4305555555555469E-2</v>
      </c>
      <c r="V5" s="7">
        <f>+Tabla513[[#This Row],[TERMINO ACTIVIDADES PM]]-Tabla513[[#This Row],[INICIO ACTIVIDADES PM]]</f>
        <v>1.388888888888884E-2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95</v>
      </c>
      <c r="B6" s="12" t="s">
        <v>28</v>
      </c>
      <c r="C6" s="4">
        <f>+Tabla5[[#This Row],[FECHA]]</f>
        <v>44827</v>
      </c>
      <c r="D6" s="37">
        <v>0.68402777777777779</v>
      </c>
      <c r="E6" s="37">
        <v>0.71527777777777779</v>
      </c>
      <c r="F6" s="37">
        <v>0.72291666666666676</v>
      </c>
      <c r="G6" s="46">
        <v>0.94166666666666676</v>
      </c>
      <c r="H6" s="37">
        <v>0.94791666666666663</v>
      </c>
      <c r="I6" s="46">
        <v>0.97222222222222221</v>
      </c>
      <c r="J6" s="46">
        <v>0.99305555555555547</v>
      </c>
      <c r="K6" s="47" t="s">
        <v>90</v>
      </c>
      <c r="M6" s="5"/>
      <c r="N6" s="5" t="s">
        <v>17</v>
      </c>
      <c r="O6" s="4">
        <f>Tabla513[[#This Row],[FECHA]]</f>
        <v>44827</v>
      </c>
      <c r="P6" s="7">
        <f>D6</f>
        <v>0.68402777777777779</v>
      </c>
      <c r="Q6" s="7">
        <f t="shared" si="0"/>
        <v>3.125E-2</v>
      </c>
      <c r="R6" s="7">
        <f t="shared" si="0"/>
        <v>7.6388888888889728E-3</v>
      </c>
      <c r="S6" s="7">
        <f t="shared" si="0"/>
        <v>0.21875</v>
      </c>
      <c r="T6" s="7">
        <f>+Tabla513[[#This Row],[ALMUERZO]]-Tabla513[[#This Row],[TERMINO ACT. AM]]</f>
        <v>6.2499999999998668E-3</v>
      </c>
      <c r="U6" s="7">
        <f>+Tabla513[[#This Row],[INICIO ACTIVIDADES PM]]-Tabla513[[#This Row],[ALMUERZO]]</f>
        <v>2.430555555555558E-2</v>
      </c>
      <c r="V6" s="7">
        <f>+Tabla513[[#This Row],[TERMINO ACTIVIDADES PM]]-Tabla513[[#This Row],[INICIO ACTIVIDADES PM]]</f>
        <v>2.0833333333333259E-2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95</v>
      </c>
      <c r="B7" s="12" t="s">
        <v>38</v>
      </c>
      <c r="C7" s="4">
        <f>+Tabla5[[#This Row],[FECHA]]</f>
        <v>44828</v>
      </c>
      <c r="D7" s="37">
        <v>0.68541666666666667</v>
      </c>
      <c r="E7" s="37">
        <v>0.70138888888888884</v>
      </c>
      <c r="F7" s="37">
        <v>0.71666666666666667</v>
      </c>
      <c r="G7" s="46">
        <v>0.94791666666666663</v>
      </c>
      <c r="H7" s="46">
        <v>0.95486111111111116</v>
      </c>
      <c r="I7" s="46">
        <v>0.97916666666666663</v>
      </c>
      <c r="J7" s="46">
        <v>0.99305555555555547</v>
      </c>
      <c r="K7" s="47" t="s">
        <v>90</v>
      </c>
      <c r="M7" s="5"/>
      <c r="N7" s="5" t="s">
        <v>18</v>
      </c>
      <c r="O7" s="4">
        <f>Tabla513[[#This Row],[FECHA]]</f>
        <v>44828</v>
      </c>
      <c r="P7" s="7">
        <f>D7</f>
        <v>0.68541666666666667</v>
      </c>
      <c r="Q7" s="7">
        <f t="shared" si="0"/>
        <v>1.5972222222222165E-2</v>
      </c>
      <c r="R7" s="7">
        <f t="shared" si="0"/>
        <v>1.5277777777777835E-2</v>
      </c>
      <c r="S7" s="7">
        <f t="shared" si="0"/>
        <v>0.23124999999999996</v>
      </c>
      <c r="T7" s="7">
        <f>+Tabla513[[#This Row],[ALMUERZO]]-Tabla513[[#This Row],[TERMINO ACT. AM]]</f>
        <v>6.9444444444445308E-3</v>
      </c>
      <c r="U7" s="7">
        <f>+Tabla513[[#This Row],[INICIO ACTIVIDADES PM]]-Tabla513[[#This Row],[ALMUERZO]]</f>
        <v>2.4305555555555469E-2</v>
      </c>
      <c r="V7" s="7">
        <f>+Tabla513[[#This Row],[TERMINO ACTIVIDADES PM]]-Tabla513[[#This Row],[INICIO ACTIVIDADES PM]]</f>
        <v>1.388888888888884E-2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0"/>
      <c r="F8" s="50"/>
      <c r="G8" s="50"/>
      <c r="H8" s="50"/>
      <c r="I8" s="50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46"/>
      <c r="K9" s="38"/>
      <c r="M9" s="5">
        <f>Tabla513[[#This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6"/>
      <c r="K10" s="38"/>
      <c r="M10" s="18"/>
      <c r="N10" s="5"/>
      <c r="O10" s="4"/>
      <c r="T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6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46"/>
      <c r="K12" s="38"/>
      <c r="M12" s="5"/>
      <c r="N12" s="5"/>
      <c r="O12" s="4"/>
      <c r="T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0"/>
      <c r="I13" s="10"/>
      <c r="J13" s="10"/>
      <c r="K13" s="50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0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77</v>
      </c>
      <c r="H15" s="26"/>
      <c r="I15" s="28"/>
      <c r="J15" s="28"/>
      <c r="K15" s="50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</v>
      </c>
      <c r="H16" s="23"/>
      <c r="I16" s="28"/>
      <c r="J16" s="28"/>
      <c r="K16" s="51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0.24375000000000002</v>
      </c>
      <c r="H17" s="23"/>
      <c r="I17" s="28"/>
      <c r="J17" s="28"/>
      <c r="K17" s="51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0.24861111111111123</v>
      </c>
      <c r="H18" s="23"/>
      <c r="I18" s="28"/>
      <c r="J18" s="28"/>
      <c r="K18" s="51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0.23958333333333326</v>
      </c>
      <c r="H19" s="23"/>
      <c r="I19" s="28"/>
      <c r="J19" s="28"/>
      <c r="K19" s="51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0.2451388888888888</v>
      </c>
      <c r="H20" s="23"/>
      <c r="I20" s="28"/>
      <c r="J20" s="28"/>
      <c r="K20" s="51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0.24427083333333333</v>
      </c>
      <c r="H21" s="30"/>
      <c r="I21" s="28"/>
      <c r="J21" s="28"/>
      <c r="K21" s="51"/>
    </row>
    <row r="22" spans="1:20" ht="16.5" thickBot="1" x14ac:dyDescent="0.3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0.9770833333333333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x14ac:dyDescent="0.25">
      <c r="T28" s="3"/>
    </row>
    <row r="29" spans="1:20" ht="15.6" customHeight="1" x14ac:dyDescent="0.25">
      <c r="H29" s="178" t="s">
        <v>105</v>
      </c>
      <c r="I29" s="179" t="s">
        <v>103</v>
      </c>
      <c r="T29" s="3"/>
    </row>
    <row r="30" spans="1:20" ht="15.6" customHeight="1" x14ac:dyDescent="0.25">
      <c r="H30" s="178"/>
      <c r="I30" s="180"/>
      <c r="T30" s="3"/>
    </row>
    <row r="31" spans="1:20" ht="15.6" customHeight="1" x14ac:dyDescent="0.25">
      <c r="H31" s="178"/>
      <c r="I31" s="180"/>
      <c r="T31" s="3"/>
    </row>
    <row r="32" spans="1:20" ht="15.6" customHeight="1" x14ac:dyDescent="0.25">
      <c r="H32" s="178"/>
      <c r="I32" s="181"/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7"/>
  <sheetViews>
    <sheetView zoomScale="60" zoomScaleNormal="60" workbookViewId="0">
      <selection activeCell="N29" sqref="N29"/>
    </sheetView>
  </sheetViews>
  <sheetFormatPr baseColWidth="10" defaultRowHeight="15.75" x14ac:dyDescent="0.25"/>
  <cols>
    <col min="1" max="1" width="3.25" customWidth="1"/>
    <col min="14" max="14" width="91.375" bestFit="1" customWidth="1"/>
  </cols>
  <sheetData>
    <row r="1" spans="1:13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4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4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4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4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4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4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82"/>
    </row>
    <row r="23" spans="1:14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83"/>
    </row>
    <row r="24" spans="1:14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83"/>
    </row>
    <row r="25" spans="1:14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4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4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</row>
    <row r="28" spans="1:14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</row>
    <row r="29" spans="1:14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</row>
    <row r="30" spans="1:14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</row>
    <row r="31" spans="1:14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</row>
    <row r="32" spans="1:14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</row>
    <row r="33" spans="1:13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 spans="1:13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3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I27"/>
  <sheetViews>
    <sheetView workbookViewId="0">
      <selection activeCell="A3" sqref="A3"/>
    </sheetView>
  </sheetViews>
  <sheetFormatPr baseColWidth="10" defaultColWidth="10.875" defaultRowHeight="15.75" x14ac:dyDescent="0.25"/>
  <cols>
    <col min="1" max="1" width="10.875" style="2"/>
    <col min="2" max="2" width="25.375" style="2" customWidth="1"/>
    <col min="3" max="16384" width="10.875" style="2"/>
  </cols>
  <sheetData>
    <row r="1" spans="2:9" ht="16.5" thickBot="1" x14ac:dyDescent="0.3"/>
    <row r="2" spans="2:9" ht="19.5" thickBot="1" x14ac:dyDescent="0.35">
      <c r="B2" s="214" t="s">
        <v>67</v>
      </c>
      <c r="C2" s="215"/>
      <c r="D2" s="215"/>
      <c r="E2" s="215"/>
      <c r="F2" s="215"/>
      <c r="G2" s="215"/>
      <c r="H2" s="215"/>
      <c r="I2" s="216"/>
    </row>
    <row r="3" spans="2:9" ht="32.25" thickBot="1" x14ac:dyDescent="0.3">
      <c r="B3" s="59" t="s">
        <v>2</v>
      </c>
      <c r="C3" s="59" t="s">
        <v>0</v>
      </c>
      <c r="D3" s="59" t="s">
        <v>3</v>
      </c>
      <c r="E3" s="59" t="s">
        <v>4</v>
      </c>
      <c r="F3" s="59" t="s">
        <v>5</v>
      </c>
      <c r="G3" s="59" t="s">
        <v>6</v>
      </c>
      <c r="H3" s="59" t="s">
        <v>7</v>
      </c>
      <c r="I3" s="59" t="s">
        <v>8</v>
      </c>
    </row>
    <row r="4" spans="2:9" ht="16.5" thickBot="1" x14ac:dyDescent="0.3">
      <c r="B4" s="60" t="s">
        <v>68</v>
      </c>
      <c r="C4" s="61">
        <v>0.3263888888888889</v>
      </c>
      <c r="D4" s="62"/>
      <c r="E4" s="62"/>
      <c r="F4" s="62"/>
      <c r="G4" s="62"/>
      <c r="H4" s="62"/>
      <c r="I4" s="62" t="e">
        <f t="shared" ref="I4:I9" si="0">AVERAGE(D4:H4)</f>
        <v>#DIV/0!</v>
      </c>
    </row>
    <row r="5" spans="2:9" ht="16.5" thickBot="1" x14ac:dyDescent="0.3">
      <c r="B5" s="63" t="s">
        <v>69</v>
      </c>
      <c r="C5" s="64">
        <v>0.35416666666666669</v>
      </c>
      <c r="D5" s="65"/>
      <c r="E5" s="65"/>
      <c r="F5" s="65"/>
      <c r="G5" s="65"/>
      <c r="H5" s="65"/>
      <c r="I5" s="65" t="e">
        <f t="shared" si="0"/>
        <v>#DIV/0!</v>
      </c>
    </row>
    <row r="6" spans="2:9" ht="16.5" thickBot="1" x14ac:dyDescent="0.3">
      <c r="B6" s="63" t="s">
        <v>70</v>
      </c>
      <c r="C6" s="64">
        <v>0.375</v>
      </c>
      <c r="D6" s="65"/>
      <c r="E6" s="65"/>
      <c r="F6" s="65"/>
      <c r="G6" s="65"/>
      <c r="H6" s="65"/>
      <c r="I6" s="65" t="e">
        <f t="shared" si="0"/>
        <v>#DIV/0!</v>
      </c>
    </row>
    <row r="7" spans="2:9" ht="16.5" thickBot="1" x14ac:dyDescent="0.3">
      <c r="B7" s="63" t="s">
        <v>71</v>
      </c>
      <c r="C7" s="64">
        <v>0.60416666666666663</v>
      </c>
      <c r="D7" s="65"/>
      <c r="E7" s="65"/>
      <c r="F7" s="65"/>
      <c r="G7" s="65"/>
      <c r="H7" s="65"/>
      <c r="I7" s="65" t="e">
        <f t="shared" si="0"/>
        <v>#DIV/0!</v>
      </c>
    </row>
    <row r="8" spans="2:9" ht="16.5" thickBot="1" x14ac:dyDescent="0.3">
      <c r="B8" s="63" t="s">
        <v>68</v>
      </c>
      <c r="C8" s="64">
        <v>0.61458333333333337</v>
      </c>
      <c r="D8" s="65"/>
      <c r="E8" s="65"/>
      <c r="F8" s="65"/>
      <c r="G8" s="65"/>
      <c r="H8" s="65"/>
      <c r="I8" s="65" t="e">
        <f t="shared" si="0"/>
        <v>#DIV/0!</v>
      </c>
    </row>
    <row r="9" spans="2:9" ht="16.5" thickBot="1" x14ac:dyDescent="0.3">
      <c r="B9" s="66" t="s">
        <v>72</v>
      </c>
      <c r="C9" s="67">
        <v>0.65277777777777779</v>
      </c>
      <c r="D9" s="68"/>
      <c r="E9" s="68"/>
      <c r="F9" s="68"/>
      <c r="G9" s="68"/>
      <c r="H9" s="68"/>
      <c r="I9" s="68" t="e">
        <f t="shared" si="0"/>
        <v>#DIV/0!</v>
      </c>
    </row>
    <row r="10" spans="2:9" ht="16.5" thickBot="1" x14ac:dyDescent="0.3">
      <c r="B10"/>
      <c r="C10"/>
      <c r="D10"/>
      <c r="E10"/>
      <c r="F10"/>
      <c r="G10"/>
      <c r="H10"/>
      <c r="I10"/>
    </row>
    <row r="11" spans="2:9" ht="19.5" thickBot="1" x14ac:dyDescent="0.35">
      <c r="B11" s="214" t="s">
        <v>73</v>
      </c>
      <c r="C11" s="215"/>
      <c r="D11" s="215"/>
      <c r="E11" s="215"/>
      <c r="F11" s="215"/>
      <c r="G11" s="215"/>
      <c r="H11" s="215"/>
      <c r="I11" s="216"/>
    </row>
    <row r="12" spans="2:9" ht="32.25" thickBot="1" x14ac:dyDescent="0.3">
      <c r="B12" s="59" t="s">
        <v>2</v>
      </c>
      <c r="C12" s="59" t="s">
        <v>0</v>
      </c>
      <c r="D12" s="59" t="s">
        <v>3</v>
      </c>
      <c r="E12" s="59" t="s">
        <v>4</v>
      </c>
      <c r="F12" s="59" t="s">
        <v>5</v>
      </c>
      <c r="G12" s="59" t="s">
        <v>6</v>
      </c>
      <c r="H12" s="59" t="s">
        <v>7</v>
      </c>
      <c r="I12" s="59" t="s">
        <v>8</v>
      </c>
    </row>
    <row r="13" spans="2:9" ht="16.5" thickBot="1" x14ac:dyDescent="0.3">
      <c r="B13" s="60" t="s">
        <v>68</v>
      </c>
      <c r="C13" s="61">
        <v>0.32291666666666669</v>
      </c>
      <c r="D13" s="62"/>
      <c r="E13" s="62"/>
      <c r="F13" s="62"/>
      <c r="G13" s="62"/>
      <c r="H13" s="62"/>
      <c r="I13" s="62" t="e">
        <f t="shared" ref="I13:I18" si="1">AVERAGE(D13:H13)</f>
        <v>#DIV/0!</v>
      </c>
    </row>
    <row r="14" spans="2:9" ht="16.5" thickBot="1" x14ac:dyDescent="0.3">
      <c r="B14" s="63" t="s">
        <v>69</v>
      </c>
      <c r="C14" s="64">
        <v>0.34027777777777773</v>
      </c>
      <c r="D14" s="65"/>
      <c r="E14" s="65"/>
      <c r="F14" s="65"/>
      <c r="G14" s="65"/>
      <c r="H14" s="65"/>
      <c r="I14" s="65" t="e">
        <f t="shared" si="1"/>
        <v>#DIV/0!</v>
      </c>
    </row>
    <row r="15" spans="2:9" ht="16.5" thickBot="1" x14ac:dyDescent="0.3">
      <c r="B15" s="63" t="s">
        <v>70</v>
      </c>
      <c r="C15" s="64">
        <v>0.34722222222222227</v>
      </c>
      <c r="D15" s="65"/>
      <c r="E15" s="65"/>
      <c r="F15" s="65"/>
      <c r="G15" s="65"/>
      <c r="H15" s="65"/>
      <c r="I15" s="65" t="e">
        <f t="shared" si="1"/>
        <v>#DIV/0!</v>
      </c>
    </row>
    <row r="16" spans="2:9" ht="16.5" thickBot="1" x14ac:dyDescent="0.3">
      <c r="B16" s="63" t="s">
        <v>71</v>
      </c>
      <c r="C16" s="64">
        <v>0.625</v>
      </c>
      <c r="D16" s="65"/>
      <c r="E16" s="65"/>
      <c r="F16" s="65"/>
      <c r="G16" s="65"/>
      <c r="H16" s="65"/>
      <c r="I16" s="65" t="e">
        <f t="shared" si="1"/>
        <v>#DIV/0!</v>
      </c>
    </row>
    <row r="17" spans="2:9" ht="16.5" thickBot="1" x14ac:dyDescent="0.3">
      <c r="B17" s="63" t="s">
        <v>68</v>
      </c>
      <c r="C17" s="64">
        <v>0.63888888888888895</v>
      </c>
      <c r="D17" s="65"/>
      <c r="E17" s="65"/>
      <c r="F17" s="65"/>
      <c r="G17" s="65"/>
      <c r="H17" s="65"/>
      <c r="I17" s="65" t="e">
        <f t="shared" si="1"/>
        <v>#DIV/0!</v>
      </c>
    </row>
    <row r="18" spans="2:9" ht="16.5" thickBot="1" x14ac:dyDescent="0.3">
      <c r="B18" s="66" t="s">
        <v>72</v>
      </c>
      <c r="C18" s="67">
        <v>0.66666666666666663</v>
      </c>
      <c r="D18" s="68"/>
      <c r="E18" s="68"/>
      <c r="F18" s="68"/>
      <c r="G18" s="68"/>
      <c r="H18" s="68"/>
      <c r="I18" s="68" t="e">
        <f t="shared" si="1"/>
        <v>#DIV/0!</v>
      </c>
    </row>
    <row r="19" spans="2:9" ht="16.5" thickBot="1" x14ac:dyDescent="0.3">
      <c r="B19"/>
      <c r="C19"/>
      <c r="D19"/>
      <c r="E19"/>
      <c r="F19"/>
      <c r="G19"/>
      <c r="H19"/>
      <c r="I19"/>
    </row>
    <row r="20" spans="2:9" ht="19.5" thickBot="1" x14ac:dyDescent="0.35">
      <c r="B20" s="214" t="s">
        <v>74</v>
      </c>
      <c r="C20" s="215"/>
      <c r="D20" s="215"/>
      <c r="E20" s="215"/>
      <c r="F20" s="215"/>
      <c r="G20" s="215"/>
      <c r="H20" s="215"/>
      <c r="I20" s="216"/>
    </row>
    <row r="21" spans="2:9" ht="32.25" thickBot="1" x14ac:dyDescent="0.3">
      <c r="B21" s="59" t="s">
        <v>2</v>
      </c>
      <c r="C21" s="59" t="s">
        <v>0</v>
      </c>
      <c r="D21" s="59" t="s">
        <v>3</v>
      </c>
      <c r="E21" s="59" t="s">
        <v>4</v>
      </c>
      <c r="F21" s="59" t="s">
        <v>5</v>
      </c>
      <c r="G21" s="59" t="s">
        <v>6</v>
      </c>
      <c r="H21" s="59" t="s">
        <v>7</v>
      </c>
      <c r="I21" s="59" t="s">
        <v>8</v>
      </c>
    </row>
    <row r="22" spans="2:9" ht="16.5" thickBot="1" x14ac:dyDescent="0.3">
      <c r="B22" s="60" t="s">
        <v>68</v>
      </c>
      <c r="C22" s="61">
        <v>0.66666666666666663</v>
      </c>
      <c r="D22" s="62"/>
      <c r="E22" s="62"/>
      <c r="F22" s="62"/>
      <c r="G22" s="62"/>
      <c r="H22" s="62"/>
      <c r="I22" s="62" t="e">
        <f t="shared" ref="I22:I27" si="2">AVERAGE(D22:H22)</f>
        <v>#DIV/0!</v>
      </c>
    </row>
    <row r="23" spans="2:9" ht="16.5" thickBot="1" x14ac:dyDescent="0.3">
      <c r="B23" s="63" t="s">
        <v>69</v>
      </c>
      <c r="C23" s="64">
        <v>0.69791666666666663</v>
      </c>
      <c r="D23" s="65"/>
      <c r="E23" s="65"/>
      <c r="F23" s="65"/>
      <c r="G23" s="65"/>
      <c r="H23" s="65"/>
      <c r="I23" s="65" t="e">
        <f t="shared" si="2"/>
        <v>#DIV/0!</v>
      </c>
    </row>
    <row r="24" spans="2:9" ht="16.5" thickBot="1" x14ac:dyDescent="0.3">
      <c r="B24" s="63" t="s">
        <v>70</v>
      </c>
      <c r="C24" s="64">
        <v>0.71180555555555547</v>
      </c>
      <c r="D24" s="65"/>
      <c r="E24" s="65"/>
      <c r="F24" s="65"/>
      <c r="G24" s="65"/>
      <c r="H24" s="65"/>
      <c r="I24" s="65" t="e">
        <f t="shared" si="2"/>
        <v>#DIV/0!</v>
      </c>
    </row>
    <row r="25" spans="2:9" ht="16.5" thickBot="1" x14ac:dyDescent="0.3">
      <c r="B25" s="63" t="s">
        <v>71</v>
      </c>
      <c r="C25" s="64">
        <v>0.94791666666666663</v>
      </c>
      <c r="D25" s="65"/>
      <c r="E25" s="65"/>
      <c r="F25" s="65"/>
      <c r="G25" s="65"/>
      <c r="H25" s="65"/>
      <c r="I25" s="65" t="e">
        <f t="shared" si="2"/>
        <v>#DIV/0!</v>
      </c>
    </row>
    <row r="26" spans="2:9" ht="16.5" thickBot="1" x14ac:dyDescent="0.3">
      <c r="B26" s="63" t="s">
        <v>68</v>
      </c>
      <c r="C26" s="64">
        <v>0.95833333333333337</v>
      </c>
      <c r="D26" s="65"/>
      <c r="E26" s="65"/>
      <c r="F26" s="65"/>
      <c r="G26" s="65"/>
      <c r="H26" s="65"/>
      <c r="I26" s="65" t="e">
        <f t="shared" si="2"/>
        <v>#DIV/0!</v>
      </c>
    </row>
    <row r="27" spans="2:9" ht="16.5" thickBot="1" x14ac:dyDescent="0.3">
      <c r="B27" s="66" t="s">
        <v>72</v>
      </c>
      <c r="C27" s="67">
        <v>0.98611111111111116</v>
      </c>
      <c r="D27" s="68"/>
      <c r="E27" s="68"/>
      <c r="F27" s="68"/>
      <c r="G27" s="68"/>
      <c r="H27" s="68"/>
      <c r="I27" s="68" t="e">
        <f t="shared" si="2"/>
        <v>#DIV/0!</v>
      </c>
    </row>
  </sheetData>
  <mergeCells count="3">
    <mergeCell ref="B2:I2"/>
    <mergeCell ref="B11:I11"/>
    <mergeCell ref="B20:I20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2"/>
  <sheetViews>
    <sheetView showGridLines="0" zoomScale="60" zoomScaleNormal="60" workbookViewId="0">
      <selection activeCell="D14" sqref="D14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5" width="13.875" customWidth="1"/>
    <col min="6" max="6" width="14.75" customWidth="1"/>
    <col min="7" max="7" width="13.875" customWidth="1"/>
    <col min="8" max="8" width="13.625" customWidth="1"/>
    <col min="9" max="9" width="14.75" customWidth="1"/>
    <col min="10" max="10" width="14.625" customWidth="1"/>
    <col min="11" max="11" width="25.25" customWidth="1"/>
    <col min="12" max="12" width="17.875" customWidth="1"/>
    <col min="13" max="13" width="17.5" customWidth="1"/>
    <col min="14" max="14" width="12.875" bestFit="1" customWidth="1"/>
    <col min="15" max="15" width="12.25" bestFit="1" customWidth="1"/>
  </cols>
  <sheetData>
    <row r="1" spans="1:28" x14ac:dyDescent="0.25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8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</row>
    <row r="3" spans="1:28" x14ac:dyDescent="0.25">
      <c r="A3" s="12" t="s">
        <v>96</v>
      </c>
      <c r="B3" s="12" t="s">
        <v>37</v>
      </c>
      <c r="C3" s="4">
        <f>+Tabla5[[#This Row],[FECHA]]</f>
        <v>44824</v>
      </c>
      <c r="D3" s="37"/>
      <c r="E3" s="37"/>
      <c r="F3" s="37"/>
      <c r="G3" s="37"/>
      <c r="H3" s="37"/>
      <c r="I3" s="37"/>
      <c r="J3" s="46"/>
      <c r="K3" s="47"/>
      <c r="L3" s="53"/>
      <c r="M3" s="53"/>
      <c r="N3" s="57" t="s">
        <v>15</v>
      </c>
      <c r="O3" s="4">
        <f>Tabla51334[[#This Row],[FECHA]]</f>
        <v>44824</v>
      </c>
      <c r="P3" s="7">
        <f>D3</f>
        <v>0</v>
      </c>
      <c r="Q3" s="7">
        <f>E3-D3</f>
        <v>0</v>
      </c>
      <c r="R3" s="7">
        <f>F3-E3</f>
        <v>0</v>
      </c>
      <c r="S3" s="7">
        <f>G3-F3</f>
        <v>0</v>
      </c>
      <c r="T3" s="7">
        <f>+Tabla51334[[#This Row],[ALMUERZO]]-Tabla51334[[#This Row],[TERMINO ACT. AM]]</f>
        <v>0</v>
      </c>
      <c r="U3" s="7">
        <f>+Tabla51334[[#This Row],[INICIO ACTIVIDADES PM]]-Tabla51334[[#This Row],[ALMUERZO]]</f>
        <v>0</v>
      </c>
      <c r="V3" s="7">
        <f>+Tabla51334[[#This Row],[TERMINO ACTIVIDADES PM]]-Tabla51334[[#This Row],[INICIO ACTIVIDADES PM]]</f>
        <v>0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</row>
    <row r="4" spans="1:28" x14ac:dyDescent="0.25">
      <c r="A4" s="12" t="s">
        <v>96</v>
      </c>
      <c r="B4" s="12" t="s">
        <v>26</v>
      </c>
      <c r="C4" s="4">
        <f>+Tabla5[[#This Row],[FECHA]]</f>
        <v>44825</v>
      </c>
      <c r="D4" s="37">
        <v>0.33680555555555558</v>
      </c>
      <c r="E4" s="37">
        <v>0.37847222222222227</v>
      </c>
      <c r="F4" s="37">
        <v>0.38472222222222219</v>
      </c>
      <c r="G4" s="37">
        <v>0.61388888888888882</v>
      </c>
      <c r="H4" s="37">
        <v>0.62152777777777779</v>
      </c>
      <c r="I4" s="37">
        <v>0.64583333333333337</v>
      </c>
      <c r="J4" s="46">
        <v>0.65972222222222221</v>
      </c>
      <c r="K4" s="47"/>
      <c r="M4" s="5"/>
      <c r="N4" s="5" t="s">
        <v>16</v>
      </c>
      <c r="O4" s="4">
        <f>Tabla51334[[#This Row],[FECHA]]</f>
        <v>44825</v>
      </c>
      <c r="P4" s="7">
        <f>D4</f>
        <v>0.33680555555555558</v>
      </c>
      <c r="Q4" s="7">
        <f t="shared" ref="Q4:S7" si="0">E4-D4</f>
        <v>4.1666666666666685E-2</v>
      </c>
      <c r="R4" s="7">
        <f t="shared" si="0"/>
        <v>6.2499999999999223E-3</v>
      </c>
      <c r="S4" s="7">
        <f t="shared" si="0"/>
        <v>0.22916666666666663</v>
      </c>
      <c r="T4" s="7">
        <f>+Tabla51334[[#This Row],[ALMUERZO]]-Tabla51334[[#This Row],[TERMINO ACT. AM]]</f>
        <v>7.6388888888889728E-3</v>
      </c>
      <c r="U4" s="7">
        <f>+Tabla51334[[#This Row],[INICIO ACTIVIDADES PM]]-Tabla51334[[#This Row],[ALMUERZO]]</f>
        <v>2.430555555555558E-2</v>
      </c>
      <c r="V4" s="7">
        <f>+Tabla51334[[#This Row],[TERMINO ACTIVIDADES PM]]-Tabla51334[[#This Row],[INICIO ACTIVIDADES PM]]</f>
        <v>1.388888888888884E-2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</row>
    <row r="5" spans="1:28" x14ac:dyDescent="0.25">
      <c r="A5" s="12" t="s">
        <v>96</v>
      </c>
      <c r="B5" s="12" t="s">
        <v>27</v>
      </c>
      <c r="C5" s="4">
        <f>+Tabla5[[#This Row],[FECHA]]</f>
        <v>44826</v>
      </c>
      <c r="D5" s="37">
        <v>0.33680555555555558</v>
      </c>
      <c r="E5" s="37">
        <v>0.37152777777777773</v>
      </c>
      <c r="F5" s="37">
        <v>0.38263888888888892</v>
      </c>
      <c r="G5" s="37">
        <v>0.51527777777777783</v>
      </c>
      <c r="H5" s="37">
        <v>0.52083333333333337</v>
      </c>
      <c r="I5" s="37">
        <v>0.54513888888888895</v>
      </c>
      <c r="J5" s="46">
        <v>0.65972222222222221</v>
      </c>
      <c r="K5" s="47"/>
      <c r="M5" s="5"/>
      <c r="N5" s="5" t="s">
        <v>16</v>
      </c>
      <c r="O5" s="4">
        <f>Tabla51334[[#This Row],[FECHA]]</f>
        <v>44826</v>
      </c>
      <c r="P5" s="7">
        <f>D5</f>
        <v>0.33680555555555558</v>
      </c>
      <c r="Q5" s="7">
        <f t="shared" si="0"/>
        <v>3.4722222222222154E-2</v>
      </c>
      <c r="R5" s="7">
        <f t="shared" si="0"/>
        <v>1.1111111111111183E-2</v>
      </c>
      <c r="S5" s="7">
        <f t="shared" si="0"/>
        <v>0.13263888888888892</v>
      </c>
      <c r="T5" s="7">
        <f>+Tabla51334[[#This Row],[ALMUERZO]]-Tabla51334[[#This Row],[TERMINO ACT. AM]]</f>
        <v>5.5555555555555358E-3</v>
      </c>
      <c r="U5" s="7">
        <f>+Tabla51334[[#This Row],[INICIO ACTIVIDADES PM]]-Tabla51334[[#This Row],[ALMUERZO]]</f>
        <v>2.430555555555558E-2</v>
      </c>
      <c r="V5" s="7">
        <f>+Tabla51334[[#This Row],[TERMINO ACTIVIDADES PM]]-Tabla51334[[#This Row],[INICIO ACTIVIDADES PM]]</f>
        <v>0.11458333333333326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</row>
    <row r="6" spans="1:28" x14ac:dyDescent="0.25">
      <c r="A6" s="12" t="s">
        <v>96</v>
      </c>
      <c r="B6" s="12" t="s">
        <v>28</v>
      </c>
      <c r="C6" s="4">
        <f>+Tabla5[[#This Row],[FECHA]]</f>
        <v>44827</v>
      </c>
      <c r="D6" s="37">
        <v>0.34027777777777773</v>
      </c>
      <c r="E6" s="37">
        <v>0.36805555555555558</v>
      </c>
      <c r="F6" s="37">
        <v>0.37986111111111115</v>
      </c>
      <c r="G6" s="37">
        <v>0.58333333333333337</v>
      </c>
      <c r="H6" s="37">
        <v>0.59166666666666667</v>
      </c>
      <c r="I6" s="37">
        <v>0.60902777777777783</v>
      </c>
      <c r="J6" s="46">
        <v>0.65972222222222299</v>
      </c>
      <c r="K6" s="47"/>
      <c r="M6" s="5"/>
      <c r="N6" s="5" t="s">
        <v>17</v>
      </c>
      <c r="O6" s="4">
        <f>Tabla51334[[#This Row],[FECHA]]</f>
        <v>44827</v>
      </c>
      <c r="P6" s="7">
        <f>D6</f>
        <v>0.34027777777777773</v>
      </c>
      <c r="Q6" s="7">
        <f t="shared" si="0"/>
        <v>2.7777777777777846E-2</v>
      </c>
      <c r="R6" s="7">
        <f t="shared" si="0"/>
        <v>1.1805555555555569E-2</v>
      </c>
      <c r="S6" s="7">
        <f t="shared" si="0"/>
        <v>0.20347222222222222</v>
      </c>
      <c r="T6" s="7">
        <f>+Tabla51334[[#This Row],[ALMUERZO]]-Tabla51334[[#This Row],[TERMINO ACT. AM]]</f>
        <v>8.3333333333333037E-3</v>
      </c>
      <c r="U6" s="7">
        <f>+Tabla51334[[#This Row],[INICIO ACTIVIDADES PM]]-Tabla51334[[#This Row],[ALMUERZO]]</f>
        <v>1.736111111111116E-2</v>
      </c>
      <c r="V6" s="7">
        <f>+Tabla51334[[#This Row],[TERMINO ACTIVIDADES PM]]-Tabla51334[[#This Row],[INICIO ACTIVIDADES PM]]</f>
        <v>5.0694444444445153E-2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</row>
    <row r="7" spans="1:28" x14ac:dyDescent="0.25">
      <c r="A7" s="12" t="s">
        <v>96</v>
      </c>
      <c r="B7" s="12" t="s">
        <v>38</v>
      </c>
      <c r="C7" s="4">
        <f>+Tabla5[[#This Row],[FECHA]]</f>
        <v>44828</v>
      </c>
      <c r="D7" s="37">
        <v>0.33680555555555558</v>
      </c>
      <c r="E7" s="37">
        <v>0.36458333333333331</v>
      </c>
      <c r="F7" s="37">
        <v>0.37847222222222227</v>
      </c>
      <c r="G7" s="46">
        <v>0.51041666666666663</v>
      </c>
      <c r="H7" s="37">
        <v>0.52083333333333337</v>
      </c>
      <c r="I7" s="37">
        <v>0.54166666666666663</v>
      </c>
      <c r="J7" s="46">
        <v>0.65972222222222299</v>
      </c>
      <c r="K7" s="47"/>
      <c r="M7" s="5"/>
      <c r="N7" s="5" t="s">
        <v>18</v>
      </c>
      <c r="O7" s="4">
        <f>Tabla51334[[#This Row],[FECHA]]</f>
        <v>44828</v>
      </c>
      <c r="P7" s="7">
        <f>D7</f>
        <v>0.33680555555555558</v>
      </c>
      <c r="Q7" s="7">
        <f t="shared" si="0"/>
        <v>2.7777777777777735E-2</v>
      </c>
      <c r="R7" s="7">
        <f t="shared" si="0"/>
        <v>1.3888888888888951E-2</v>
      </c>
      <c r="S7" s="7">
        <f t="shared" si="0"/>
        <v>0.13194444444444436</v>
      </c>
      <c r="T7" s="7">
        <f>+Tabla51334[[#This Row],[ALMUERZO]]-Tabla51334[[#This Row],[TERMINO ACT. AM]]</f>
        <v>1.0416666666666741E-2</v>
      </c>
      <c r="U7" s="7">
        <f>+Tabla51334[[#This Row],[INICIO ACTIVIDADES PM]]-Tabla51334[[#This Row],[ALMUERZO]]</f>
        <v>2.0833333333333259E-2</v>
      </c>
      <c r="V7" s="7">
        <f>+Tabla51334[[#This Row],[TERMINO ACTIVIDADES PM]]-Tabla51334[[#This Row],[INICIO ACTIVIDADES PM]]</f>
        <v>0.11805555555555636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</row>
    <row r="8" spans="1:28" x14ac:dyDescent="0.25">
      <c r="A8" s="11"/>
      <c r="B8" s="11"/>
      <c r="C8" s="4"/>
      <c r="D8" s="39"/>
      <c r="E8" s="56"/>
      <c r="F8" s="56"/>
      <c r="G8" s="56"/>
      <c r="H8" s="56"/>
      <c r="I8" s="56"/>
      <c r="J8" s="46"/>
      <c r="K8" s="38"/>
      <c r="M8" s="5"/>
      <c r="N8" s="5"/>
      <c r="O8" s="4"/>
      <c r="T8" s="3"/>
      <c r="W8" s="3"/>
      <c r="X8" s="3"/>
      <c r="Y8" s="3"/>
      <c r="Z8" s="3"/>
      <c r="AA8" s="3"/>
      <c r="AB8" s="3"/>
    </row>
    <row r="9" spans="1:28" x14ac:dyDescent="0.25">
      <c r="A9" s="11"/>
      <c r="B9" s="11"/>
      <c r="C9" s="11"/>
      <c r="D9" s="37"/>
      <c r="E9" s="37"/>
      <c r="F9" s="37"/>
      <c r="G9" s="46"/>
      <c r="H9" s="46"/>
      <c r="I9" s="46"/>
      <c r="J9" s="46"/>
      <c r="K9" s="38"/>
      <c r="M9" s="5">
        <f>Tabla51334[[#This Row],[Columna1]]</f>
        <v>0</v>
      </c>
      <c r="N9" s="5"/>
      <c r="O9" s="4"/>
      <c r="T9" s="3"/>
      <c r="W9" s="3"/>
      <c r="X9" s="3"/>
      <c r="Y9" s="3"/>
      <c r="Z9" s="3"/>
      <c r="AA9" s="3"/>
      <c r="AB9" s="3"/>
    </row>
    <row r="10" spans="1:28" x14ac:dyDescent="0.25">
      <c r="A10" s="40"/>
      <c r="B10" s="40"/>
      <c r="C10" s="40"/>
      <c r="D10" s="37"/>
      <c r="E10" s="37"/>
      <c r="F10" s="37"/>
      <c r="G10" s="46"/>
      <c r="H10" s="46"/>
      <c r="I10" s="46"/>
      <c r="J10" s="46"/>
      <c r="K10" s="38"/>
      <c r="M10" s="18"/>
      <c r="N10" s="5"/>
      <c r="O10" s="4"/>
      <c r="T10" s="3"/>
      <c r="W10" s="3"/>
      <c r="X10" s="3"/>
      <c r="Y10" s="3"/>
      <c r="Z10" s="3"/>
      <c r="AA10" s="3"/>
      <c r="AB10" s="3"/>
    </row>
    <row r="11" spans="1:28" x14ac:dyDescent="0.25">
      <c r="A11" s="40"/>
      <c r="B11" s="40"/>
      <c r="C11" s="40"/>
      <c r="D11" s="37"/>
      <c r="E11" s="37"/>
      <c r="F11" s="37"/>
      <c r="G11" s="46"/>
      <c r="H11" s="37"/>
      <c r="I11" s="46"/>
      <c r="J11" s="46"/>
      <c r="K11" s="38"/>
      <c r="M11" s="5"/>
      <c r="N11" s="5"/>
      <c r="O11" s="4"/>
      <c r="T11" s="3"/>
      <c r="W11" s="3"/>
      <c r="X11" s="3"/>
      <c r="Y11" s="3"/>
      <c r="Z11" s="3"/>
      <c r="AA11" s="3"/>
      <c r="AB11" s="3"/>
    </row>
    <row r="12" spans="1:28" x14ac:dyDescent="0.25">
      <c r="A12" s="11"/>
      <c r="B12" s="11"/>
      <c r="C12" s="11"/>
      <c r="D12" s="37"/>
      <c r="E12" s="37"/>
      <c r="F12" s="37"/>
      <c r="G12" s="46"/>
      <c r="H12" s="46"/>
      <c r="I12" s="46"/>
      <c r="J12" s="46"/>
      <c r="K12" s="38"/>
      <c r="M12" s="5"/>
      <c r="N12" s="5"/>
      <c r="O12" s="4"/>
      <c r="T12" s="3"/>
      <c r="W12" s="3"/>
      <c r="X12" s="3"/>
      <c r="Y12" s="3"/>
      <c r="Z12" s="3"/>
      <c r="AA12" s="3"/>
      <c r="AB12" s="3"/>
    </row>
    <row r="13" spans="1:28" ht="16.5" thickBot="1" x14ac:dyDescent="0.3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T13" s="3"/>
      <c r="W13" s="3"/>
      <c r="X13" s="3"/>
      <c r="Y13" s="3"/>
      <c r="Z13" s="3"/>
      <c r="AA13" s="3"/>
      <c r="AB13" s="3"/>
    </row>
    <row r="14" spans="1:28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W14" s="3"/>
      <c r="X14" s="3"/>
      <c r="Y14" s="3"/>
      <c r="Z14" s="3"/>
      <c r="AA14" s="3"/>
      <c r="AB14" s="3"/>
    </row>
    <row r="15" spans="1:28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79</v>
      </c>
      <c r="H15" s="26"/>
      <c r="I15" s="28"/>
      <c r="J15" s="28"/>
      <c r="K15" s="56"/>
      <c r="T15" s="3"/>
    </row>
    <row r="16" spans="1:28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0.24305555555555547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0.24722222222222218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0.25416666666666737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0.25000000000000072</v>
      </c>
      <c r="H20" s="23"/>
      <c r="I20" s="28"/>
      <c r="J20" s="28"/>
      <c r="K20" s="58"/>
    </row>
    <row r="21" spans="1:20" ht="16.5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0.24861111111111145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0.9944444444444458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H27" s="178" t="s">
        <v>105</v>
      </c>
      <c r="I27" s="179" t="s">
        <v>104</v>
      </c>
      <c r="T27" s="3"/>
    </row>
    <row r="28" spans="1:20" ht="15.6" customHeight="1" x14ac:dyDescent="0.25">
      <c r="H28" s="178"/>
      <c r="I28" s="180"/>
      <c r="T28" s="3"/>
    </row>
    <row r="29" spans="1:20" ht="15.6" customHeight="1" x14ac:dyDescent="0.25">
      <c r="H29" s="178"/>
      <c r="I29" s="180"/>
      <c r="T29" s="3"/>
    </row>
    <row r="30" spans="1:20" ht="15.6" customHeight="1" x14ac:dyDescent="0.25">
      <c r="H30" s="178"/>
      <c r="I30" s="181"/>
      <c r="T30" s="3"/>
    </row>
    <row r="31" spans="1:20" x14ac:dyDescent="0.25">
      <c r="T31" s="3"/>
    </row>
    <row r="32" spans="1:20" x14ac:dyDescent="0.25">
      <c r="T32" s="3"/>
    </row>
    <row r="33" spans="8:20" x14ac:dyDescent="0.25">
      <c r="T33" s="3"/>
    </row>
    <row r="34" spans="8:20" x14ac:dyDescent="0.25">
      <c r="T34" s="3"/>
    </row>
    <row r="35" spans="8:20" x14ac:dyDescent="0.25">
      <c r="T35" s="3"/>
    </row>
    <row r="36" spans="8:20" x14ac:dyDescent="0.25">
      <c r="T36" s="3"/>
    </row>
    <row r="37" spans="8:20" x14ac:dyDescent="0.25">
      <c r="T37" s="3"/>
    </row>
    <row r="38" spans="8:20" x14ac:dyDescent="0.25">
      <c r="T38" s="3"/>
    </row>
    <row r="39" spans="8:20" x14ac:dyDescent="0.25">
      <c r="T39" s="3"/>
    </row>
    <row r="40" spans="8:20" x14ac:dyDescent="0.25">
      <c r="T40" s="3"/>
    </row>
    <row r="41" spans="8:20" x14ac:dyDescent="0.25">
      <c r="T41" s="3"/>
    </row>
    <row r="42" spans="8:20" x14ac:dyDescent="0.25">
      <c r="H42" t="s">
        <v>101</v>
      </c>
      <c r="T42" s="3"/>
    </row>
    <row r="43" spans="8:20" x14ac:dyDescent="0.25">
      <c r="T43" s="3"/>
    </row>
    <row r="44" spans="8:20" x14ac:dyDescent="0.25">
      <c r="T44" s="3"/>
    </row>
    <row r="45" spans="8:20" x14ac:dyDescent="0.25">
      <c r="T45" s="3"/>
    </row>
    <row r="46" spans="8:20" x14ac:dyDescent="0.25">
      <c r="T46" s="3"/>
    </row>
    <row r="47" spans="8:20" x14ac:dyDescent="0.25">
      <c r="T47" s="3"/>
    </row>
    <row r="48" spans="8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7:H30"/>
    <mergeCell ref="I27:I30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2"/>
  <sheetViews>
    <sheetView showGridLines="0" zoomScale="60" zoomScaleNormal="60" workbookViewId="0">
      <selection activeCell="D13" sqref="D13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4" width="14.25" customWidth="1"/>
    <col min="5" max="5" width="14.375" customWidth="1"/>
    <col min="6" max="6" width="15.875" customWidth="1"/>
    <col min="7" max="7" width="13.75" customWidth="1"/>
    <col min="8" max="8" width="14.375" customWidth="1"/>
    <col min="9" max="9" width="14.625" customWidth="1"/>
    <col min="10" max="10" width="16.25" customWidth="1"/>
    <col min="11" max="11" width="26.75" customWidth="1"/>
    <col min="12" max="12" width="12.25" bestFit="1" customWidth="1"/>
    <col min="22" max="22" width="14.25" customWidth="1"/>
  </cols>
  <sheetData>
    <row r="1" spans="1:24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4" ht="47.2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</row>
    <row r="3" spans="1:24" x14ac:dyDescent="0.25">
      <c r="A3" s="12" t="s">
        <v>89</v>
      </c>
      <c r="B3" s="12" t="s">
        <v>37</v>
      </c>
      <c r="C3" s="4">
        <f>+Tabla5[[#This Row],[FECHA]]</f>
        <v>44824</v>
      </c>
      <c r="D3" s="37"/>
      <c r="E3" s="37"/>
      <c r="F3" s="37"/>
      <c r="G3" s="37"/>
      <c r="H3" s="37"/>
      <c r="I3" s="37"/>
      <c r="J3" s="46"/>
      <c r="K3" s="47"/>
      <c r="L3" s="53"/>
      <c r="M3" s="53"/>
      <c r="N3" s="57" t="s">
        <v>15</v>
      </c>
      <c r="O3" s="4">
        <f>Tabla536[[#This Row],[FECHA]]</f>
        <v>44824</v>
      </c>
      <c r="P3" s="7">
        <f>D3</f>
        <v>0</v>
      </c>
      <c r="Q3" s="7">
        <f>E3-D3</f>
        <v>0</v>
      </c>
      <c r="R3" s="7">
        <f>F3-E3</f>
        <v>0</v>
      </c>
      <c r="S3" s="7">
        <f>G3-F3</f>
        <v>0</v>
      </c>
      <c r="T3" s="7">
        <f>+Tabla536[[#This Row],[ALMUERZO]]-Tabla536[[#This Row],[TERMINO ACT. AM]]</f>
        <v>0</v>
      </c>
      <c r="U3" s="7">
        <f>+Tabla536[[#This Row],[INICIO ACTIVIDADES PM]]-Tabla536[[#This Row],[ALMUERZO]]</f>
        <v>0</v>
      </c>
      <c r="V3" s="7">
        <f>+Tabla536[[#This Row],[TERMINO ACTIVIDADES PM]]-Tabla536[[#This Row],[INICIO ACTIVIDADES PM]]</f>
        <v>0</v>
      </c>
      <c r="W3" s="3">
        <f>+$D$1</f>
        <v>0.33333333333333331</v>
      </c>
      <c r="X3" s="3">
        <f>+$E$1</f>
        <v>0.35416666666666669</v>
      </c>
    </row>
    <row r="4" spans="1:24" x14ac:dyDescent="0.25">
      <c r="A4" s="12" t="s">
        <v>89</v>
      </c>
      <c r="B4" s="12" t="s">
        <v>26</v>
      </c>
      <c r="C4" s="4">
        <f>+Tabla5[[#This Row],[FECHA]]</f>
        <v>44825</v>
      </c>
      <c r="D4" s="37">
        <v>0.34027777777777773</v>
      </c>
      <c r="E4" s="37">
        <v>0.37152777777777773</v>
      </c>
      <c r="F4" s="37">
        <v>0.37777777777777777</v>
      </c>
      <c r="G4" s="37">
        <v>0.60625000000000007</v>
      </c>
      <c r="H4" s="37">
        <v>0.61805555555555558</v>
      </c>
      <c r="I4" s="37">
        <v>0.64027777777777783</v>
      </c>
      <c r="J4" s="46">
        <v>0.65972222222222221</v>
      </c>
      <c r="K4" s="47"/>
      <c r="M4" s="5"/>
      <c r="N4" s="5" t="s">
        <v>16</v>
      </c>
      <c r="O4" s="4">
        <f>Tabla536[[#This Row],[FECHA]]</f>
        <v>44825</v>
      </c>
      <c r="P4" s="7">
        <f>D4</f>
        <v>0.34027777777777773</v>
      </c>
      <c r="Q4" s="7">
        <f t="shared" ref="Q4:S7" si="0">E4-D4</f>
        <v>3.125E-2</v>
      </c>
      <c r="R4" s="7">
        <f t="shared" si="0"/>
        <v>6.2500000000000333E-3</v>
      </c>
      <c r="S4" s="7">
        <f t="shared" si="0"/>
        <v>0.2284722222222223</v>
      </c>
      <c r="T4" s="7">
        <f>+Tabla536[[#This Row],[ALMUERZO]]-Tabla536[[#This Row],[TERMINO ACT. AM]]</f>
        <v>1.1805555555555514E-2</v>
      </c>
      <c r="U4" s="7">
        <f>+Tabla536[[#This Row],[INICIO ACTIVIDADES PM]]-Tabla536[[#This Row],[ALMUERZO]]</f>
        <v>2.2222222222222254E-2</v>
      </c>
      <c r="V4" s="7">
        <f>+Tabla536[[#This Row],[TERMINO ACTIVIDADES PM]]-Tabla536[[#This Row],[INICIO ACTIVIDADES PM]]</f>
        <v>1.9444444444444375E-2</v>
      </c>
      <c r="W4" s="3">
        <f t="shared" ref="W4:W7" si="1">+$D$1</f>
        <v>0.33333333333333331</v>
      </c>
      <c r="X4" s="3">
        <f t="shared" ref="X4:X7" si="2">+$E$1</f>
        <v>0.35416666666666669</v>
      </c>
    </row>
    <row r="5" spans="1:24" x14ac:dyDescent="0.25">
      <c r="A5" s="12" t="s">
        <v>89</v>
      </c>
      <c r="B5" s="12" t="s">
        <v>27</v>
      </c>
      <c r="C5" s="4">
        <f>+Tabla5[[#This Row],[FECHA]]</f>
        <v>44826</v>
      </c>
      <c r="D5" s="37">
        <v>0.33680555555555558</v>
      </c>
      <c r="E5" s="37">
        <v>0.36458333333333331</v>
      </c>
      <c r="F5" s="37">
        <v>0.37986111111111115</v>
      </c>
      <c r="G5" s="37">
        <v>0.61527777777777781</v>
      </c>
      <c r="H5" s="37">
        <v>0.62152777777777779</v>
      </c>
      <c r="I5" s="37">
        <v>0.64444444444444449</v>
      </c>
      <c r="J5" s="46">
        <v>0.65972222222222221</v>
      </c>
      <c r="K5" s="47"/>
      <c r="M5" s="5"/>
      <c r="N5" s="5" t="s">
        <v>16</v>
      </c>
      <c r="O5" s="4">
        <f>Tabla536[[#This Row],[FECHA]]</f>
        <v>44826</v>
      </c>
      <c r="P5" s="7">
        <f>D5</f>
        <v>0.33680555555555558</v>
      </c>
      <c r="Q5" s="7">
        <f t="shared" si="0"/>
        <v>2.7777777777777735E-2</v>
      </c>
      <c r="R5" s="7">
        <f t="shared" si="0"/>
        <v>1.5277777777777835E-2</v>
      </c>
      <c r="S5" s="7">
        <f t="shared" si="0"/>
        <v>0.23541666666666666</v>
      </c>
      <c r="T5" s="7">
        <f>+Tabla536[[#This Row],[ALMUERZO]]-Tabla536[[#This Row],[TERMINO ACT. AM]]</f>
        <v>6.2499999999999778E-3</v>
      </c>
      <c r="U5" s="7">
        <f>+Tabla536[[#This Row],[INICIO ACTIVIDADES PM]]-Tabla536[[#This Row],[ALMUERZO]]</f>
        <v>2.2916666666666696E-2</v>
      </c>
      <c r="V5" s="7">
        <f>+Tabla536[[#This Row],[TERMINO ACTIVIDADES PM]]-Tabla536[[#This Row],[INICIO ACTIVIDADES PM]]</f>
        <v>1.5277777777777724E-2</v>
      </c>
      <c r="W5" s="3">
        <f t="shared" si="1"/>
        <v>0.33333333333333331</v>
      </c>
      <c r="X5" s="3">
        <f t="shared" si="2"/>
        <v>0.35416666666666669</v>
      </c>
    </row>
    <row r="6" spans="1:24" x14ac:dyDescent="0.25">
      <c r="A6" s="12" t="s">
        <v>89</v>
      </c>
      <c r="B6" s="12" t="s">
        <v>28</v>
      </c>
      <c r="C6" s="4">
        <f>+Tabla5[[#This Row],[FECHA]]</f>
        <v>44827</v>
      </c>
      <c r="D6" s="37">
        <v>0.34375</v>
      </c>
      <c r="E6" s="37">
        <v>0.36458333333333331</v>
      </c>
      <c r="F6" s="37">
        <v>0.3743055555555555</v>
      </c>
      <c r="G6" s="37">
        <v>0.60902777777777783</v>
      </c>
      <c r="H6" s="37">
        <v>0.61458333333333337</v>
      </c>
      <c r="I6" s="37">
        <v>0.63888888888888895</v>
      </c>
      <c r="J6" s="46">
        <v>0.65972222222222221</v>
      </c>
      <c r="K6" s="47"/>
      <c r="M6" s="5"/>
      <c r="N6" s="5" t="s">
        <v>17</v>
      </c>
      <c r="O6" s="4">
        <f>Tabla536[[#This Row],[FECHA]]</f>
        <v>44827</v>
      </c>
      <c r="P6" s="7">
        <f>D6</f>
        <v>0.34375</v>
      </c>
      <c r="Q6" s="7">
        <f t="shared" si="0"/>
        <v>2.0833333333333315E-2</v>
      </c>
      <c r="R6" s="7">
        <f t="shared" si="0"/>
        <v>9.7222222222221877E-3</v>
      </c>
      <c r="S6" s="7">
        <f t="shared" si="0"/>
        <v>0.23472222222222233</v>
      </c>
      <c r="T6" s="7">
        <f>+Tabla536[[#This Row],[ALMUERZO]]-Tabla536[[#This Row],[TERMINO ACT. AM]]</f>
        <v>5.5555555555555358E-3</v>
      </c>
      <c r="U6" s="7">
        <f>+Tabla536[[#This Row],[INICIO ACTIVIDADES PM]]-Tabla536[[#This Row],[ALMUERZO]]</f>
        <v>2.430555555555558E-2</v>
      </c>
      <c r="V6" s="7">
        <f>+Tabla536[[#This Row],[TERMINO ACTIVIDADES PM]]-Tabla536[[#This Row],[INICIO ACTIVIDADES PM]]</f>
        <v>2.0833333333333259E-2</v>
      </c>
      <c r="W6" s="3">
        <f t="shared" si="1"/>
        <v>0.33333333333333331</v>
      </c>
      <c r="X6" s="3">
        <f t="shared" si="2"/>
        <v>0.35416666666666669</v>
      </c>
    </row>
    <row r="7" spans="1:24" x14ac:dyDescent="0.25">
      <c r="A7" s="12" t="s">
        <v>89</v>
      </c>
      <c r="B7" s="12" t="s">
        <v>38</v>
      </c>
      <c r="C7" s="4">
        <f>+Tabla5[[#This Row],[FECHA]]</f>
        <v>44828</v>
      </c>
      <c r="D7" s="37">
        <v>0.34375</v>
      </c>
      <c r="E7" s="37">
        <v>0.36805555555555558</v>
      </c>
      <c r="F7" s="37">
        <v>0.37847222222222227</v>
      </c>
      <c r="G7" s="37">
        <v>0.60555555555555551</v>
      </c>
      <c r="H7" s="37">
        <v>0.61111111111111105</v>
      </c>
      <c r="I7" s="37">
        <v>0.63541666666666663</v>
      </c>
      <c r="J7" s="46">
        <v>0.65972222222222221</v>
      </c>
      <c r="K7" s="47"/>
      <c r="M7" s="5"/>
      <c r="N7" s="5" t="s">
        <v>18</v>
      </c>
      <c r="O7" s="4">
        <f>Tabla536[[#This Row],[FECHA]]</f>
        <v>44828</v>
      </c>
      <c r="P7" s="7">
        <f>D7</f>
        <v>0.34375</v>
      </c>
      <c r="Q7" s="7">
        <f t="shared" si="0"/>
        <v>2.430555555555558E-2</v>
      </c>
      <c r="R7" s="7">
        <f t="shared" si="0"/>
        <v>1.0416666666666685E-2</v>
      </c>
      <c r="S7" s="7">
        <f t="shared" si="0"/>
        <v>0.22708333333333325</v>
      </c>
      <c r="T7" s="7">
        <f>+Tabla536[[#This Row],[ALMUERZO]]-Tabla536[[#This Row],[TERMINO ACT. AM]]</f>
        <v>5.5555555555555358E-3</v>
      </c>
      <c r="U7" s="7">
        <f>+Tabla536[[#This Row],[INICIO ACTIVIDADES PM]]-Tabla536[[#This Row],[ALMUERZO]]</f>
        <v>2.430555555555558E-2</v>
      </c>
      <c r="V7" s="7">
        <f>+Tabla536[[#This Row],[TERMINO ACTIVIDADES PM]]-Tabla536[[#This Row],[INICIO ACTIVIDADES PM]]</f>
        <v>2.430555555555558E-2</v>
      </c>
      <c r="W7" s="3">
        <f t="shared" si="1"/>
        <v>0.33333333333333331</v>
      </c>
      <c r="X7" s="3">
        <f t="shared" si="2"/>
        <v>0.35416666666666669</v>
      </c>
    </row>
    <row r="8" spans="1:24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</row>
    <row r="9" spans="1:24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Tabla536[[#This Row],[Columna1]]</f>
        <v>0</v>
      </c>
      <c r="N9" s="5"/>
      <c r="O9" s="4"/>
      <c r="V9" s="7"/>
      <c r="W9" s="3"/>
      <c r="X9" s="3"/>
    </row>
    <row r="10" spans="1:24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V10" s="7"/>
      <c r="W10" s="3"/>
      <c r="X10" s="3"/>
    </row>
    <row r="11" spans="1:24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V11" s="7"/>
      <c r="W11" s="3"/>
      <c r="X11" s="3"/>
    </row>
    <row r="12" spans="1:24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V12" s="7"/>
      <c r="W12" s="3"/>
      <c r="X12" s="3"/>
    </row>
    <row r="13" spans="1:24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V13" s="7"/>
      <c r="W13" s="3"/>
      <c r="X13" s="3"/>
    </row>
    <row r="14" spans="1:24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"/>
      <c r="W14" s="3"/>
      <c r="X14" s="3"/>
    </row>
    <row r="15" spans="1:24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57</v>
      </c>
      <c r="H15" s="26"/>
      <c r="I15" s="28"/>
      <c r="J15" s="28"/>
      <c r="K15" s="56"/>
    </row>
    <row r="16" spans="1:24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0.24791666666666667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0.25069444444444439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0.25555555555555559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0.25138888888888883</v>
      </c>
      <c r="H20" s="23"/>
      <c r="I20" s="28"/>
      <c r="J20" s="28"/>
      <c r="K20" s="58"/>
    </row>
    <row r="21" spans="1:20" ht="16.5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0.25138888888888888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22"/>
      <c r="B23" s="22"/>
      <c r="C23" s="22"/>
      <c r="D23" s="22"/>
      <c r="E23" s="22"/>
      <c r="F23" s="30" t="s">
        <v>41</v>
      </c>
      <c r="G23" s="44">
        <f>G21/G22</f>
        <v>1.0055555555555555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ht="15.6" customHeight="1" x14ac:dyDescent="0.25">
      <c r="H28" s="178" t="s">
        <v>105</v>
      </c>
      <c r="I28" s="179" t="s">
        <v>103</v>
      </c>
      <c r="T28" s="3"/>
    </row>
    <row r="29" spans="1:20" ht="15.6" customHeight="1" x14ac:dyDescent="0.25">
      <c r="H29" s="178"/>
      <c r="I29" s="180"/>
      <c r="T29" s="3"/>
    </row>
    <row r="30" spans="1:20" ht="15.6" customHeight="1" x14ac:dyDescent="0.25">
      <c r="H30" s="178"/>
      <c r="I30" s="180"/>
      <c r="T30" s="3"/>
    </row>
    <row r="31" spans="1:20" ht="15.6" customHeight="1" x14ac:dyDescent="0.25">
      <c r="H31" s="178"/>
      <c r="I31" s="181"/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66"/>
  <sheetViews>
    <sheetView showGridLines="0" zoomScale="60" zoomScaleNormal="60" workbookViewId="0">
      <selection activeCell="E14" sqref="E14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4" width="12.75" customWidth="1"/>
    <col min="5" max="5" width="14.25" customWidth="1"/>
    <col min="6" max="6" width="15.875" customWidth="1"/>
    <col min="7" max="7" width="14.875" customWidth="1"/>
    <col min="8" max="8" width="15.125" customWidth="1"/>
    <col min="9" max="10" width="14.875" customWidth="1"/>
    <col min="11" max="11" width="19.375" customWidth="1"/>
    <col min="12" max="12" width="15.625" customWidth="1"/>
    <col min="13" max="13" width="13.375" customWidth="1"/>
    <col min="14" max="14" width="6.25" customWidth="1"/>
    <col min="15" max="15" width="16.625" bestFit="1" customWidth="1"/>
    <col min="16" max="16" width="11.25" customWidth="1"/>
    <col min="17" max="17" width="17.125" bestFit="1" customWidth="1"/>
    <col min="18" max="18" width="15.25" bestFit="1" customWidth="1"/>
    <col min="19" max="19" width="16.375" customWidth="1"/>
    <col min="20" max="20" width="19.25" customWidth="1"/>
    <col min="21" max="21" width="16.125" customWidth="1"/>
    <col min="22" max="22" width="18.875" bestFit="1" customWidth="1"/>
    <col min="23" max="23" width="16.125" customWidth="1"/>
    <col min="24" max="24" width="14.25" customWidth="1"/>
    <col min="25" max="25" width="11" customWidth="1"/>
    <col min="26" max="26" width="23.875" bestFit="1" customWidth="1"/>
    <col min="27" max="27" width="12.625" bestFit="1" customWidth="1"/>
    <col min="28" max="28" width="17.25" customWidth="1"/>
    <col min="29" max="29" width="17.875" customWidth="1"/>
    <col min="30" max="30" width="17.5" customWidth="1"/>
    <col min="31" max="31" width="18.25" bestFit="1" customWidth="1"/>
    <col min="32" max="32" width="12.875" bestFit="1" customWidth="1"/>
    <col min="33" max="33" width="12.25" bestFit="1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7.2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97</v>
      </c>
      <c r="B3" s="12" t="s">
        <v>37</v>
      </c>
      <c r="C3" s="4">
        <f>+Tabla5[[#This Row],[FECHA]]</f>
        <v>44824</v>
      </c>
      <c r="D3" s="37"/>
      <c r="E3" s="37"/>
      <c r="F3" s="37"/>
      <c r="G3" s="37"/>
      <c r="H3" s="37"/>
      <c r="I3" s="37"/>
      <c r="J3" s="46"/>
      <c r="K3" s="47"/>
      <c r="L3" s="53"/>
      <c r="M3" s="53"/>
      <c r="N3" s="57" t="s">
        <v>15</v>
      </c>
      <c r="O3" s="4">
        <f>Tabla537[[#This Row],[FECHA]]</f>
        <v>44824</v>
      </c>
      <c r="P3" s="7">
        <f>D3</f>
        <v>0</v>
      </c>
      <c r="Q3" s="7">
        <f>E3-D3</f>
        <v>0</v>
      </c>
      <c r="R3" s="7">
        <f>F3-E3</f>
        <v>0</v>
      </c>
      <c r="S3" s="7">
        <f>G3-F3</f>
        <v>0</v>
      </c>
      <c r="T3" s="7">
        <f>+Tabla537[[#This Row],[ALMUERZO]]-Tabla537[[#This Row],[TERMINO ACT. AM]]</f>
        <v>0</v>
      </c>
      <c r="U3" s="7">
        <f>+Tabla537[[#This Row],[INICIO ACTIVIDADES PM]]-Tabla537[[#This Row],[ALMUERZO]]</f>
        <v>0</v>
      </c>
      <c r="V3" s="7">
        <f>+Tabla537[[#This Row],[TERMINO ACTIVIDADES PM]]-Tabla537[[#This Row],[INICIO ACTIVIDADES PM]]</f>
        <v>0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97</v>
      </c>
      <c r="B4" s="12" t="s">
        <v>26</v>
      </c>
      <c r="C4" s="4">
        <f>+Tabla5[[#This Row],[FECHA]]</f>
        <v>44825</v>
      </c>
      <c r="D4" s="37">
        <v>0.34027777777777773</v>
      </c>
      <c r="E4" s="37">
        <v>0.37152777777777773</v>
      </c>
      <c r="F4" s="37">
        <v>0.37708333333333338</v>
      </c>
      <c r="G4" s="37">
        <v>0.61041666666666672</v>
      </c>
      <c r="H4" s="37">
        <v>0.61805555555555558</v>
      </c>
      <c r="I4" s="37">
        <v>0.64027777777777783</v>
      </c>
      <c r="J4" s="46">
        <v>0.65972222222222221</v>
      </c>
      <c r="K4" s="47"/>
      <c r="M4" s="5"/>
      <c r="N4" s="5" t="s">
        <v>16</v>
      </c>
      <c r="O4" s="4">
        <f>Tabla537[[#This Row],[FECHA]]</f>
        <v>44825</v>
      </c>
      <c r="P4" s="7">
        <f>D4</f>
        <v>0.34027777777777773</v>
      </c>
      <c r="Q4" s="7">
        <f t="shared" ref="Q4:S7" si="0">E4-D4</f>
        <v>3.125E-2</v>
      </c>
      <c r="R4" s="7">
        <f t="shared" si="0"/>
        <v>5.5555555555556468E-3</v>
      </c>
      <c r="S4" s="7">
        <f t="shared" si="0"/>
        <v>0.23333333333333334</v>
      </c>
      <c r="T4" s="7">
        <f>+Tabla537[[#This Row],[ALMUERZO]]-Tabla537[[#This Row],[TERMINO ACT. AM]]</f>
        <v>7.6388888888888618E-3</v>
      </c>
      <c r="U4" s="7">
        <f>+Tabla537[[#This Row],[INICIO ACTIVIDADES PM]]-Tabla537[[#This Row],[ALMUERZO]]</f>
        <v>2.2222222222222254E-2</v>
      </c>
      <c r="V4" s="7">
        <f>+Tabla537[[#This Row],[TERMINO ACTIVIDADES PM]]-Tabla537[[#This Row],[INICIO ACTIVIDADES PM]]</f>
        <v>1.9444444444444375E-2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97</v>
      </c>
      <c r="B5" s="12" t="s">
        <v>27</v>
      </c>
      <c r="C5" s="4">
        <f>+Tabla5[[#This Row],[FECHA]]</f>
        <v>44826</v>
      </c>
      <c r="D5" s="37">
        <v>0.33888888888888885</v>
      </c>
      <c r="E5" s="37">
        <v>0.36458333333333331</v>
      </c>
      <c r="F5" s="37">
        <v>0.37777777777777777</v>
      </c>
      <c r="G5" s="37">
        <v>0.61249999999999993</v>
      </c>
      <c r="H5" s="37">
        <v>0.62152777777777779</v>
      </c>
      <c r="I5" s="37">
        <v>0.64444444444444449</v>
      </c>
      <c r="J5" s="46">
        <v>0.65972222222222221</v>
      </c>
      <c r="K5" s="47"/>
      <c r="M5" s="5"/>
      <c r="N5" s="5" t="s">
        <v>16</v>
      </c>
      <c r="O5" s="4">
        <f>Tabla537[[#This Row],[FECHA]]</f>
        <v>44826</v>
      </c>
      <c r="P5" s="7">
        <f>D5</f>
        <v>0.33888888888888885</v>
      </c>
      <c r="Q5" s="7">
        <f t="shared" si="0"/>
        <v>2.5694444444444464E-2</v>
      </c>
      <c r="R5" s="7">
        <f t="shared" si="0"/>
        <v>1.3194444444444453E-2</v>
      </c>
      <c r="S5" s="7">
        <f t="shared" si="0"/>
        <v>0.23472222222222217</v>
      </c>
      <c r="T5" s="7">
        <f>+Tabla537[[#This Row],[ALMUERZO]]-Tabla537[[#This Row],[TERMINO ACT. AM]]</f>
        <v>9.0277777777778567E-3</v>
      </c>
      <c r="U5" s="7">
        <f>+Tabla537[[#This Row],[INICIO ACTIVIDADES PM]]-Tabla537[[#This Row],[ALMUERZO]]</f>
        <v>2.2916666666666696E-2</v>
      </c>
      <c r="V5" s="7">
        <f>+Tabla537[[#This Row],[TERMINO ACTIVIDADES PM]]-Tabla537[[#This Row],[INICIO ACTIVIDADES PM]]</f>
        <v>1.5277777777777724E-2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97</v>
      </c>
      <c r="B6" s="12" t="s">
        <v>28</v>
      </c>
      <c r="C6" s="4">
        <f>+Tabla5[[#This Row],[FECHA]]</f>
        <v>44827</v>
      </c>
      <c r="D6" s="37">
        <v>0.34375</v>
      </c>
      <c r="E6" s="37">
        <v>0.36458333333333331</v>
      </c>
      <c r="F6" s="37">
        <v>0.37291666666666662</v>
      </c>
      <c r="G6" s="37">
        <v>0.60972222222222217</v>
      </c>
      <c r="H6" s="37">
        <v>0.61458333333333337</v>
      </c>
      <c r="I6" s="37">
        <v>0.63888888888888895</v>
      </c>
      <c r="J6" s="46">
        <v>0.65972222222222221</v>
      </c>
      <c r="K6" s="47"/>
      <c r="M6" s="5"/>
      <c r="N6" s="5" t="s">
        <v>17</v>
      </c>
      <c r="O6" s="4">
        <f>Tabla537[[#This Row],[FECHA]]</f>
        <v>44827</v>
      </c>
      <c r="P6" s="7">
        <f>D6</f>
        <v>0.34375</v>
      </c>
      <c r="Q6" s="7">
        <f t="shared" si="0"/>
        <v>2.0833333333333315E-2</v>
      </c>
      <c r="R6" s="7">
        <f t="shared" si="0"/>
        <v>8.3333333333333037E-3</v>
      </c>
      <c r="S6" s="7">
        <f t="shared" si="0"/>
        <v>0.23680555555555555</v>
      </c>
      <c r="T6" s="7">
        <f>+Tabla537[[#This Row],[ALMUERZO]]-Tabla537[[#This Row],[TERMINO ACT. AM]]</f>
        <v>4.8611111111112049E-3</v>
      </c>
      <c r="U6" s="7">
        <f>+Tabla537[[#This Row],[INICIO ACTIVIDADES PM]]-Tabla537[[#This Row],[ALMUERZO]]</f>
        <v>2.430555555555558E-2</v>
      </c>
      <c r="V6" s="7">
        <f>+Tabla537[[#This Row],[TERMINO ACTIVIDADES PM]]-Tabla537[[#This Row],[INICIO ACTIVIDADES PM]]</f>
        <v>2.0833333333333259E-2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97</v>
      </c>
      <c r="B7" s="12" t="s">
        <v>38</v>
      </c>
      <c r="C7" s="4">
        <f>+Tabla5[[#This Row],[FECHA]]</f>
        <v>44828</v>
      </c>
      <c r="D7" s="37">
        <v>0.34375</v>
      </c>
      <c r="E7" s="37">
        <v>0.36805555555555558</v>
      </c>
      <c r="F7" s="37">
        <v>0.37638888888888888</v>
      </c>
      <c r="G7" s="37">
        <v>0.60625000000000007</v>
      </c>
      <c r="H7" s="37">
        <v>0.61111111111111105</v>
      </c>
      <c r="I7" s="37">
        <v>0.63541666666666663</v>
      </c>
      <c r="J7" s="46">
        <v>0.65972222222222221</v>
      </c>
      <c r="K7" s="47"/>
      <c r="M7" s="5"/>
      <c r="N7" s="5" t="s">
        <v>18</v>
      </c>
      <c r="O7" s="4">
        <f>Tabla537[[#This Row],[FECHA]]</f>
        <v>44828</v>
      </c>
      <c r="P7" s="7">
        <f>D7</f>
        <v>0.34375</v>
      </c>
      <c r="Q7" s="7">
        <f t="shared" si="0"/>
        <v>2.430555555555558E-2</v>
      </c>
      <c r="R7" s="7">
        <f t="shared" si="0"/>
        <v>8.3333333333333037E-3</v>
      </c>
      <c r="S7" s="7">
        <f t="shared" si="0"/>
        <v>0.22986111111111118</v>
      </c>
      <c r="T7" s="7">
        <f>+Tabla537[[#This Row],[ALMUERZO]]-Tabla537[[#This Row],[TERMINO ACT. AM]]</f>
        <v>4.8611111111109828E-3</v>
      </c>
      <c r="U7" s="7">
        <f>+Tabla537[[#This Row],[INICIO ACTIVIDADES PM]]-Tabla537[[#This Row],[ALMUERZO]]</f>
        <v>2.430555555555558E-2</v>
      </c>
      <c r="V7" s="7">
        <f>+Tabla537[[#This Row],[TERMINO ACTIVIDADES PM]]-Tabla537[[#This Row],[INICIO ACTIVIDADES PM]]</f>
        <v>2.430555555555558E-2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11"/>
      <c r="D8" s="11"/>
      <c r="E8" s="11"/>
      <c r="F8" s="11"/>
      <c r="G8" s="11"/>
      <c r="H8" s="11"/>
      <c r="I8" s="56"/>
      <c r="J8" s="4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Tabla537[[#This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102</v>
      </c>
      <c r="G15" s="26" t="s">
        <v>80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0.25277777777777771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0.24999999999999989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0.25763888888888881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0.25416666666666676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0.25364583333333324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1.0145833333333329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ht="15.6" customHeight="1" x14ac:dyDescent="0.25">
      <c r="H28" s="178" t="s">
        <v>105</v>
      </c>
      <c r="I28" s="179" t="s">
        <v>104</v>
      </c>
      <c r="T28" s="3"/>
    </row>
    <row r="29" spans="1:20" ht="15.6" customHeight="1" x14ac:dyDescent="0.25">
      <c r="H29" s="178"/>
      <c r="I29" s="180"/>
      <c r="T29" s="3"/>
    </row>
    <row r="30" spans="1:20" ht="15.6" customHeight="1" x14ac:dyDescent="0.25">
      <c r="H30" s="178"/>
      <c r="I30" s="180"/>
      <c r="T30" s="3"/>
    </row>
    <row r="31" spans="1:20" ht="15.6" customHeight="1" x14ac:dyDescent="0.25">
      <c r="H31" s="178"/>
      <c r="I31" s="181"/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20:20" x14ac:dyDescent="0.25">
      <c r="T65" s="3"/>
    </row>
    <row r="66" spans="20:20" x14ac:dyDescent="0.25">
      <c r="T66" s="3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63"/>
  <sheetViews>
    <sheetView zoomScale="60" zoomScaleNormal="60" workbookViewId="0">
      <selection activeCell="F9" sqref="F9"/>
    </sheetView>
  </sheetViews>
  <sheetFormatPr baseColWidth="10" defaultRowHeight="15.75" x14ac:dyDescent="0.25"/>
  <cols>
    <col min="1" max="1" width="12" customWidth="1"/>
    <col min="2" max="2" width="12.25" customWidth="1"/>
    <col min="3" max="3" width="12.75" customWidth="1"/>
    <col min="4" max="4" width="11.375" customWidth="1"/>
    <col min="5" max="5" width="12" customWidth="1"/>
    <col min="6" max="6" width="19.875" customWidth="1"/>
    <col min="7" max="7" width="16.375" customWidth="1"/>
    <col min="11" max="11" width="23.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98</v>
      </c>
      <c r="B3" s="12" t="s">
        <v>37</v>
      </c>
      <c r="C3" s="4">
        <f>+Tabla5[[#This Row],[FECHA]]</f>
        <v>44824</v>
      </c>
      <c r="D3" s="37">
        <v>0.33680555555555558</v>
      </c>
      <c r="E3" s="37">
        <v>0.34583333333333338</v>
      </c>
      <c r="F3" s="37">
        <v>0.35416666666666669</v>
      </c>
      <c r="G3" s="37">
        <v>0.54166666666666663</v>
      </c>
      <c r="H3" s="37">
        <v>0.54861111111111105</v>
      </c>
      <c r="I3" s="37">
        <v>0.57986111111111105</v>
      </c>
      <c r="J3" s="46">
        <v>0.83333333333333337</v>
      </c>
      <c r="K3" s="47" t="s">
        <v>93</v>
      </c>
      <c r="L3" s="53"/>
      <c r="M3" s="53"/>
      <c r="N3" s="57" t="s">
        <v>15</v>
      </c>
      <c r="O3" s="4">
        <f>Tabla538[[#This Row],[FECHA]]</f>
        <v>44824</v>
      </c>
      <c r="P3" s="7">
        <f>D3</f>
        <v>0.33680555555555558</v>
      </c>
      <c r="Q3" s="7">
        <f>E3-D3</f>
        <v>9.0277777777778012E-3</v>
      </c>
      <c r="R3" s="7">
        <f>F3-E3</f>
        <v>8.3333333333333037E-3</v>
      </c>
      <c r="S3" s="7">
        <f>G3-F3</f>
        <v>0.18749999999999994</v>
      </c>
      <c r="T3" s="7">
        <f>+Tabla538[[#This Row],[ALMUERZO]]-Tabla538[[#This Row],[TERMINO ACT. AM]]</f>
        <v>6.9444444444444198E-3</v>
      </c>
      <c r="U3" s="7">
        <f>+Tabla538[[#This Row],[INICIO ACTIVIDADES PM]]-Tabla538[[#This Row],[ALMUERZO]]</f>
        <v>3.125E-2</v>
      </c>
      <c r="V3" s="7">
        <f>+Tabla538[[#This Row],[TERMINO ACTIVIDADES PM]]-Tabla538[[#This Row],[INICIO ACTIVIDADES PM]]</f>
        <v>0.25347222222222232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98</v>
      </c>
      <c r="B4" s="12" t="s">
        <v>26</v>
      </c>
      <c r="C4" s="4">
        <f>+Tabla5[[#This Row],[FECHA]]</f>
        <v>44825</v>
      </c>
      <c r="D4" s="37">
        <v>0.33680555555555558</v>
      </c>
      <c r="E4" s="37">
        <v>0.34652777777777777</v>
      </c>
      <c r="F4" s="37">
        <v>0.35555555555555557</v>
      </c>
      <c r="G4" s="37">
        <v>0.53819444444444442</v>
      </c>
      <c r="H4" s="37">
        <v>0.54722222222222217</v>
      </c>
      <c r="I4" s="37">
        <v>0.57638888888888895</v>
      </c>
      <c r="J4" s="46">
        <v>0.83333333333333337</v>
      </c>
      <c r="K4" s="47" t="s">
        <v>93</v>
      </c>
      <c r="M4" s="5"/>
      <c r="N4" s="5" t="s">
        <v>16</v>
      </c>
      <c r="O4" s="4">
        <f>Tabla538[[#This Row],[FECHA]]</f>
        <v>44825</v>
      </c>
      <c r="P4" s="7">
        <f>D4</f>
        <v>0.33680555555555558</v>
      </c>
      <c r="Q4" s="7">
        <f t="shared" ref="Q4:S7" si="0">E4-D4</f>
        <v>9.7222222222221877E-3</v>
      </c>
      <c r="R4" s="7">
        <f t="shared" si="0"/>
        <v>9.0277777777778012E-3</v>
      </c>
      <c r="S4" s="7">
        <f t="shared" si="0"/>
        <v>0.18263888888888885</v>
      </c>
      <c r="T4" s="7">
        <f>+Tabla538[[#This Row],[ALMUERZO]]-Tabla538[[#This Row],[TERMINO ACT. AM]]</f>
        <v>9.0277777777777457E-3</v>
      </c>
      <c r="U4" s="7">
        <f>+Tabla538[[#This Row],[INICIO ACTIVIDADES PM]]-Tabla538[[#This Row],[ALMUERZO]]</f>
        <v>2.9166666666666785E-2</v>
      </c>
      <c r="V4" s="7">
        <f>+Tabla538[[#This Row],[TERMINO ACTIVIDADES PM]]-Tabla538[[#This Row],[INICIO ACTIVIDADES PM]]</f>
        <v>0.25694444444444442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98</v>
      </c>
      <c r="B5" s="12" t="s">
        <v>27</v>
      </c>
      <c r="C5" s="4">
        <f>+Tabla5[[#This Row],[FECHA]]</f>
        <v>44826</v>
      </c>
      <c r="D5" s="37">
        <v>0.33680555555555558</v>
      </c>
      <c r="E5" s="37">
        <v>0.34375</v>
      </c>
      <c r="F5" s="37">
        <v>0.35138888888888892</v>
      </c>
      <c r="G5" s="37">
        <v>0.54166666666666663</v>
      </c>
      <c r="H5" s="37">
        <v>0.54861111111111105</v>
      </c>
      <c r="I5" s="37">
        <v>0.57291666666666663</v>
      </c>
      <c r="J5" s="46">
        <v>0.83333333333333304</v>
      </c>
      <c r="K5" s="47" t="s">
        <v>93</v>
      </c>
      <c r="M5" s="5"/>
      <c r="N5" s="5" t="s">
        <v>16</v>
      </c>
      <c r="O5" s="4">
        <f>Tabla538[[#This Row],[FECHA]]</f>
        <v>44826</v>
      </c>
      <c r="P5" s="7">
        <f>D5</f>
        <v>0.33680555555555558</v>
      </c>
      <c r="Q5" s="7">
        <f t="shared" si="0"/>
        <v>6.9444444444444198E-3</v>
      </c>
      <c r="R5" s="7">
        <f t="shared" si="0"/>
        <v>7.6388888888889173E-3</v>
      </c>
      <c r="S5" s="7">
        <f t="shared" si="0"/>
        <v>0.19027777777777771</v>
      </c>
      <c r="T5" s="7">
        <f>+Tabla538[[#This Row],[ALMUERZO]]-Tabla538[[#This Row],[TERMINO ACT. AM]]</f>
        <v>6.9444444444444198E-3</v>
      </c>
      <c r="U5" s="7">
        <f>+Tabla538[[#This Row],[INICIO ACTIVIDADES PM]]-Tabla538[[#This Row],[ALMUERZO]]</f>
        <v>2.430555555555558E-2</v>
      </c>
      <c r="V5" s="7">
        <f>+Tabla538[[#This Row],[TERMINO ACTIVIDADES PM]]-Tabla538[[#This Row],[INICIO ACTIVIDADES PM]]</f>
        <v>0.26041666666666641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98</v>
      </c>
      <c r="B6" s="12" t="s">
        <v>28</v>
      </c>
      <c r="C6" s="4">
        <f>+Tabla5[[#This Row],[FECHA]]</f>
        <v>44827</v>
      </c>
      <c r="D6" s="37">
        <v>0.33680555555555602</v>
      </c>
      <c r="E6" s="37">
        <v>0.34375</v>
      </c>
      <c r="F6" s="37">
        <v>0.35555555555555557</v>
      </c>
      <c r="G6" s="37">
        <v>0.53125</v>
      </c>
      <c r="H6" s="37">
        <v>0.54097222222222219</v>
      </c>
      <c r="I6" s="37">
        <v>0.57291666666666663</v>
      </c>
      <c r="J6" s="46">
        <v>0.83333333333333304</v>
      </c>
      <c r="K6" s="47" t="s">
        <v>93</v>
      </c>
      <c r="M6" s="5"/>
      <c r="N6" s="5" t="s">
        <v>17</v>
      </c>
      <c r="O6" s="4">
        <f>Tabla538[[#This Row],[FECHA]]</f>
        <v>44827</v>
      </c>
      <c r="P6" s="7">
        <f>D6</f>
        <v>0.33680555555555602</v>
      </c>
      <c r="Q6" s="7">
        <f t="shared" si="0"/>
        <v>6.9444444444439757E-3</v>
      </c>
      <c r="R6" s="7">
        <f t="shared" si="0"/>
        <v>1.1805555555555569E-2</v>
      </c>
      <c r="S6" s="7">
        <f t="shared" si="0"/>
        <v>0.17569444444444443</v>
      </c>
      <c r="T6" s="7">
        <f>+Tabla538[[#This Row],[ALMUERZO]]-Tabla538[[#This Row],[TERMINO ACT. AM]]</f>
        <v>9.7222222222221877E-3</v>
      </c>
      <c r="U6" s="7">
        <f>+Tabla538[[#This Row],[INICIO ACTIVIDADES PM]]-Tabla538[[#This Row],[ALMUERZO]]</f>
        <v>3.1944444444444442E-2</v>
      </c>
      <c r="V6" s="7">
        <f>+Tabla538[[#This Row],[TERMINO ACTIVIDADES PM]]-Tabla538[[#This Row],[INICIO ACTIVIDADES PM]]</f>
        <v>0.26041666666666641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98</v>
      </c>
      <c r="B7" s="12" t="s">
        <v>38</v>
      </c>
      <c r="C7" s="4">
        <f>+Tabla5[[#This Row],[FECHA]]</f>
        <v>44828</v>
      </c>
      <c r="D7" s="37">
        <v>0.33680555555555602</v>
      </c>
      <c r="E7" s="37">
        <v>0.34513888888888888</v>
      </c>
      <c r="F7" s="37">
        <v>0.35347222222222219</v>
      </c>
      <c r="G7" s="37">
        <v>0.53125</v>
      </c>
      <c r="H7" s="37">
        <v>0.54652777777777783</v>
      </c>
      <c r="I7" s="37">
        <v>0.57638888888888895</v>
      </c>
      <c r="J7" s="46">
        <v>0.83333333333333304</v>
      </c>
      <c r="K7" s="47" t="s">
        <v>93</v>
      </c>
      <c r="M7" s="5"/>
      <c r="N7" s="5" t="s">
        <v>18</v>
      </c>
      <c r="O7" s="4">
        <f>Tabla538[[#This Row],[FECHA]]</f>
        <v>44828</v>
      </c>
      <c r="P7" s="7">
        <f>D7</f>
        <v>0.33680555555555602</v>
      </c>
      <c r="Q7" s="7">
        <f t="shared" si="0"/>
        <v>8.3333333333328596E-3</v>
      </c>
      <c r="R7" s="7">
        <f t="shared" si="0"/>
        <v>8.3333333333333037E-3</v>
      </c>
      <c r="S7" s="7">
        <f t="shared" si="0"/>
        <v>0.17777777777777781</v>
      </c>
      <c r="T7" s="7">
        <f>+Tabla538[[#This Row],[ALMUERZO]]-Tabla538[[#This Row],[TERMINO ACT. AM]]</f>
        <v>1.5277777777777835E-2</v>
      </c>
      <c r="U7" s="7">
        <f>+Tabla538[[#This Row],[INICIO ACTIVIDADES PM]]-Tabla538[[#This Row],[ALMUERZO]]</f>
        <v>2.9861111111111116E-2</v>
      </c>
      <c r="V7" s="7">
        <f>+Tabla538[[#This Row],[TERMINO ACTIVIDADES PM]]-Tabla538[[#This Row],[INICIO ACTIVIDADES PM]]</f>
        <v>0.25694444444444409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 t="s">
        <v>101</v>
      </c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Tabla538[[#This Row],[Columna1]]</f>
        <v>0</v>
      </c>
      <c r="N9" s="5"/>
      <c r="O9" s="4"/>
      <c r="T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T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T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0"/>
      <c r="K13" s="56"/>
      <c r="M13" s="5"/>
      <c r="N13" s="5"/>
      <c r="O13" s="4"/>
      <c r="T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81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0.44097222222222227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0.43958333333333327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0.45069444444444412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0.43611111111111084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0.4347222222222219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0.44041666666666651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0.4236111111111111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1.0396721311475405</v>
      </c>
      <c r="H23" s="44"/>
      <c r="I23" s="28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H27" s="178" t="s">
        <v>105</v>
      </c>
      <c r="I27" s="179" t="s">
        <v>103</v>
      </c>
      <c r="T27" s="3"/>
    </row>
    <row r="28" spans="1:20" ht="15.6" customHeight="1" x14ac:dyDescent="0.25">
      <c r="H28" s="178"/>
      <c r="I28" s="180"/>
      <c r="T28" s="3"/>
    </row>
    <row r="29" spans="1:20" ht="15.6" customHeight="1" x14ac:dyDescent="0.25">
      <c r="H29" s="178"/>
      <c r="I29" s="180"/>
      <c r="T29" s="3"/>
    </row>
    <row r="30" spans="1:20" ht="15.6" customHeight="1" x14ac:dyDescent="0.25">
      <c r="H30" s="178"/>
      <c r="I30" s="181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72"/>
  <sheetViews>
    <sheetView zoomScale="60" zoomScaleNormal="60" workbookViewId="0">
      <selection activeCell="F9" sqref="F9"/>
    </sheetView>
  </sheetViews>
  <sheetFormatPr baseColWidth="10" defaultRowHeight="15.75" x14ac:dyDescent="0.25"/>
  <cols>
    <col min="1" max="1" width="11.375" bestFit="1" customWidth="1"/>
    <col min="11" max="11" width="13.875" customWidth="1"/>
    <col min="12" max="12" width="13" customWidth="1"/>
    <col min="13" max="13" width="13.25" customWidth="1"/>
    <col min="14" max="14" width="13.375" customWidth="1"/>
    <col min="21" max="21" width="12.3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96</v>
      </c>
      <c r="B3" s="12" t="s">
        <v>37</v>
      </c>
      <c r="C3" s="4">
        <f>+Tabla5[[#This Row],[FECHA]]</f>
        <v>44824</v>
      </c>
      <c r="D3" s="37"/>
      <c r="E3" s="37"/>
      <c r="F3" s="37"/>
      <c r="G3" s="37"/>
      <c r="H3" s="37"/>
      <c r="I3" s="37"/>
      <c r="J3" s="46"/>
      <c r="K3" s="47"/>
      <c r="L3" s="53"/>
      <c r="M3" s="53"/>
      <c r="N3" s="57" t="s">
        <v>15</v>
      </c>
      <c r="O3" s="4">
        <f>Tabla53[[#This Row],[FECHA]]</f>
        <v>44824</v>
      </c>
      <c r="P3" s="7">
        <f>D3</f>
        <v>0</v>
      </c>
      <c r="Q3" s="7">
        <f>E3-D3</f>
        <v>0</v>
      </c>
      <c r="R3" s="7">
        <f>F3-E3</f>
        <v>0</v>
      </c>
      <c r="S3" s="7">
        <f>G3-F3</f>
        <v>0</v>
      </c>
      <c r="T3" s="7">
        <f>+Tabla53[[#This Row],[ALMUERZO]]-Tabla53[[#This Row],[TERMINO ACT. AM]]</f>
        <v>0</v>
      </c>
      <c r="U3" s="7">
        <f>+Tabla53[[#This Row],[INICIO ACTIVIDADES PM]]-Tabla53[[#This Row],[ALMUERZO]]</f>
        <v>0</v>
      </c>
      <c r="V3" s="7">
        <f>+Tabla53[[#This Row],[TERMINO ACTIVIDADES PM]]-Tabla53[[#This Row],[INICIO ACTIVIDADES PM]]</f>
        <v>0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96</v>
      </c>
      <c r="B4" s="12" t="s">
        <v>26</v>
      </c>
      <c r="C4" s="4">
        <f>+Tabla5[[#This Row],[FECHA]]</f>
        <v>44825</v>
      </c>
      <c r="D4" s="37">
        <v>0.34027777777777773</v>
      </c>
      <c r="E4" s="37">
        <v>0.37847222222222227</v>
      </c>
      <c r="F4" s="37">
        <v>0.38680555555555557</v>
      </c>
      <c r="G4" s="37">
        <v>0.59791666666666665</v>
      </c>
      <c r="H4" s="37">
        <v>0.60069444444444442</v>
      </c>
      <c r="I4" s="37">
        <v>0.625</v>
      </c>
      <c r="J4" s="46">
        <v>0.65972222222222221</v>
      </c>
      <c r="K4" s="47"/>
      <c r="M4" s="5"/>
      <c r="N4" s="5" t="s">
        <v>16</v>
      </c>
      <c r="O4" s="4">
        <f>Tabla53[[#This Row],[FECHA]]</f>
        <v>44825</v>
      </c>
      <c r="P4" s="7">
        <f>D4</f>
        <v>0.34027777777777773</v>
      </c>
      <c r="Q4" s="7">
        <f t="shared" ref="Q4:S7" si="0">E4-D4</f>
        <v>3.8194444444444531E-2</v>
      </c>
      <c r="R4" s="7">
        <f t="shared" si="0"/>
        <v>8.3333333333333037E-3</v>
      </c>
      <c r="S4" s="7">
        <f t="shared" si="0"/>
        <v>0.21111111111111108</v>
      </c>
      <c r="T4" s="7">
        <f>+Tabla53[[#This Row],[ALMUERZO]]-Tabla53[[#This Row],[TERMINO ACT. AM]]</f>
        <v>2.7777777777777679E-3</v>
      </c>
      <c r="U4" s="7">
        <f>+Tabla53[[#This Row],[INICIO ACTIVIDADES PM]]-Tabla53[[#This Row],[ALMUERZO]]</f>
        <v>2.430555555555558E-2</v>
      </c>
      <c r="V4" s="7">
        <f>+Tabla53[[#This Row],[TERMINO ACTIVIDADES PM]]-Tabla53[[#This Row],[INICIO ACTIVIDADES PM]]</f>
        <v>3.472222222222221E-2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96</v>
      </c>
      <c r="B5" s="12" t="s">
        <v>27</v>
      </c>
      <c r="C5" s="4">
        <f>+Tabla5[[#This Row],[FECHA]]</f>
        <v>44826</v>
      </c>
      <c r="D5" s="37">
        <v>0.33680555555555558</v>
      </c>
      <c r="E5" s="37">
        <v>0.40625</v>
      </c>
      <c r="F5" s="37">
        <v>0.38958333333333334</v>
      </c>
      <c r="G5" s="37">
        <v>0.58680555555555558</v>
      </c>
      <c r="H5" s="37">
        <v>0.59027777777777779</v>
      </c>
      <c r="I5" s="37">
        <v>0.61458333333333337</v>
      </c>
      <c r="J5" s="46">
        <v>0.65972222222222199</v>
      </c>
      <c r="K5" s="47"/>
      <c r="M5" s="5"/>
      <c r="N5" s="5" t="s">
        <v>16</v>
      </c>
      <c r="O5" s="4">
        <f>Tabla53[[#This Row],[FECHA]]</f>
        <v>44826</v>
      </c>
      <c r="P5" s="7">
        <f>D5</f>
        <v>0.33680555555555558</v>
      </c>
      <c r="Q5" s="7">
        <f t="shared" si="0"/>
        <v>6.944444444444442E-2</v>
      </c>
      <c r="R5" s="7">
        <f t="shared" si="0"/>
        <v>-1.6666666666666663E-2</v>
      </c>
      <c r="S5" s="7">
        <f t="shared" si="0"/>
        <v>0.19722222222222224</v>
      </c>
      <c r="T5" s="7">
        <f>+Tabla53[[#This Row],[ALMUERZO]]-Tabla53[[#This Row],[TERMINO ACT. AM]]</f>
        <v>3.4722222222222099E-3</v>
      </c>
      <c r="U5" s="7">
        <f>+Tabla53[[#This Row],[INICIO ACTIVIDADES PM]]-Tabla53[[#This Row],[ALMUERZO]]</f>
        <v>2.430555555555558E-2</v>
      </c>
      <c r="V5" s="7">
        <f>+Tabla53[[#This Row],[TERMINO ACTIVIDADES PM]]-Tabla53[[#This Row],[INICIO ACTIVIDADES PM]]</f>
        <v>4.5138888888888618E-2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96</v>
      </c>
      <c r="B6" s="12" t="s">
        <v>28</v>
      </c>
      <c r="C6" s="4">
        <f>+Tabla5[[#This Row],[FECHA]]</f>
        <v>44827</v>
      </c>
      <c r="D6" s="37">
        <v>0.34375</v>
      </c>
      <c r="E6" s="37">
        <v>0.35069444444444442</v>
      </c>
      <c r="F6" s="37">
        <v>0.37222222222222223</v>
      </c>
      <c r="G6" s="37">
        <v>0.54652777777777783</v>
      </c>
      <c r="H6" s="37">
        <v>0.55208333333333337</v>
      </c>
      <c r="I6" s="37">
        <v>0.57638888888888895</v>
      </c>
      <c r="J6" s="46">
        <v>0.65972222222222199</v>
      </c>
      <c r="K6" s="47"/>
      <c r="M6" s="5"/>
      <c r="N6" s="5" t="s">
        <v>17</v>
      </c>
      <c r="O6" s="4">
        <f>Tabla53[[#This Row],[FECHA]]</f>
        <v>44827</v>
      </c>
      <c r="P6" s="7">
        <f>D6</f>
        <v>0.34375</v>
      </c>
      <c r="Q6" s="7">
        <f t="shared" si="0"/>
        <v>6.9444444444444198E-3</v>
      </c>
      <c r="R6" s="7">
        <f t="shared" si="0"/>
        <v>2.1527777777777812E-2</v>
      </c>
      <c r="S6" s="7">
        <f t="shared" si="0"/>
        <v>0.1743055555555556</v>
      </c>
      <c r="T6" s="7">
        <f>+Tabla53[[#This Row],[ALMUERZO]]-Tabla53[[#This Row],[TERMINO ACT. AM]]</f>
        <v>5.5555555555555358E-3</v>
      </c>
      <c r="U6" s="7">
        <f>+Tabla53[[#This Row],[INICIO ACTIVIDADES PM]]-Tabla53[[#This Row],[ALMUERZO]]</f>
        <v>2.430555555555558E-2</v>
      </c>
      <c r="V6" s="7">
        <f>+Tabla53[[#This Row],[TERMINO ACTIVIDADES PM]]-Tabla53[[#This Row],[INICIO ACTIVIDADES PM]]</f>
        <v>8.3333333333333037E-2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96</v>
      </c>
      <c r="B7" s="12" t="s">
        <v>38</v>
      </c>
      <c r="C7" s="4">
        <f>+Tabla5[[#This Row],[FECHA]]</f>
        <v>44828</v>
      </c>
      <c r="D7" s="37">
        <v>0.33680555555555558</v>
      </c>
      <c r="E7" s="37">
        <v>0.37152777777777773</v>
      </c>
      <c r="F7" s="37">
        <v>0.37708333333333338</v>
      </c>
      <c r="G7" s="37">
        <v>0.58958333333333335</v>
      </c>
      <c r="H7" s="37">
        <v>0.60069444444444442</v>
      </c>
      <c r="I7" s="37">
        <v>0.625</v>
      </c>
      <c r="J7" s="46">
        <v>0.65972222222222199</v>
      </c>
      <c r="K7" s="47"/>
      <c r="M7" s="5"/>
      <c r="N7" s="5" t="s">
        <v>18</v>
      </c>
      <c r="O7" s="4">
        <f>Tabla53[[#This Row],[FECHA]]</f>
        <v>44828</v>
      </c>
      <c r="P7" s="7">
        <f>D7</f>
        <v>0.33680555555555558</v>
      </c>
      <c r="Q7" s="7">
        <f t="shared" si="0"/>
        <v>3.4722222222222154E-2</v>
      </c>
      <c r="R7" s="7">
        <f t="shared" si="0"/>
        <v>5.5555555555556468E-3</v>
      </c>
      <c r="S7" s="7">
        <f t="shared" si="0"/>
        <v>0.21249999999999997</v>
      </c>
      <c r="T7" s="7">
        <f>+Tabla53[[#This Row],[ALMUERZO]]-Tabla53[[#This Row],[TERMINO ACT. AM]]</f>
        <v>1.1111111111111072E-2</v>
      </c>
      <c r="U7" s="7">
        <f>+Tabla53[[#This Row],[INICIO ACTIVIDADES PM]]-Tabla53[[#This Row],[ALMUERZO]]</f>
        <v>2.430555555555558E-2</v>
      </c>
      <c r="V7" s="7">
        <f>+Tabla53[[#This Row],[TERMINO ACTIVIDADES PM]]-Tabla53[[#This Row],[INICIO ACTIVIDADES PM]]</f>
        <v>3.4722222222221988E-2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11"/>
      <c r="D8" s="11"/>
      <c r="E8" s="11"/>
      <c r="F8" s="11"/>
      <c r="G8" s="11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38"/>
      <c r="M9" s="5"/>
      <c r="N9" s="5"/>
      <c r="O9" s="4"/>
      <c r="T9" s="3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38"/>
      <c r="M10" s="18"/>
      <c r="N10" s="5"/>
      <c r="O10" s="4"/>
      <c r="T10" s="3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38"/>
      <c r="M11" s="5"/>
      <c r="N11" s="5"/>
      <c r="O11" s="4"/>
      <c r="T11" s="3"/>
      <c r="V11" s="7"/>
      <c r="W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38"/>
      <c r="M12" s="5"/>
      <c r="N12" s="5"/>
      <c r="O12" s="4"/>
      <c r="T12" s="3"/>
      <c r="V12" s="7"/>
      <c r="W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V13" s="7"/>
      <c r="W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0.24583333333333329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0.24236111111111086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0.25763888888888864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0.24722222222222195</v>
      </c>
      <c r="H20" s="23"/>
      <c r="I20" s="28"/>
      <c r="J20" s="28"/>
      <c r="K20" s="58"/>
    </row>
    <row r="21" spans="1:20" ht="16.5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0.24826388888888867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0.99305555555555469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J27" s="178" t="s">
        <v>105</v>
      </c>
      <c r="K27" s="179" t="s">
        <v>103</v>
      </c>
      <c r="T27" s="3"/>
    </row>
    <row r="28" spans="1:20" ht="15.6" customHeight="1" x14ac:dyDescent="0.25">
      <c r="J28" s="178"/>
      <c r="K28" s="180"/>
      <c r="T28" s="3"/>
    </row>
    <row r="29" spans="1:20" ht="15.6" customHeight="1" x14ac:dyDescent="0.25">
      <c r="J29" s="178"/>
      <c r="K29" s="180"/>
      <c r="T29" s="3"/>
    </row>
    <row r="30" spans="1:20" ht="15.6" customHeight="1" x14ac:dyDescent="0.25">
      <c r="J30" s="178"/>
      <c r="K30" s="181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J27:J30"/>
    <mergeCell ref="K27:K30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63"/>
  <sheetViews>
    <sheetView zoomScale="60" zoomScaleNormal="60" workbookViewId="0">
      <selection activeCell="F11" sqref="F11"/>
    </sheetView>
  </sheetViews>
  <sheetFormatPr baseColWidth="10" defaultRowHeight="15.75" x14ac:dyDescent="0.25"/>
  <cols>
    <col min="1" max="1" width="11.875" customWidth="1"/>
    <col min="2" max="2" width="13.375" customWidth="1"/>
    <col min="6" max="6" width="15.5" customWidth="1"/>
    <col min="7" max="7" width="12.5" customWidth="1"/>
    <col min="11" max="11" width="17.25" bestFit="1" customWidth="1"/>
    <col min="18" max="18" width="13.8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96</v>
      </c>
      <c r="B3" s="12" t="s">
        <v>37</v>
      </c>
      <c r="C3" s="4">
        <f>+Tabla5[[#This Row],[FECHA]]</f>
        <v>44824</v>
      </c>
      <c r="D3" s="37"/>
      <c r="E3" s="37"/>
      <c r="F3" s="37"/>
      <c r="G3" s="37"/>
      <c r="H3" s="37"/>
      <c r="I3" s="37"/>
      <c r="J3" s="46"/>
      <c r="K3" s="81" t="s">
        <v>94</v>
      </c>
      <c r="L3" s="53"/>
      <c r="M3" s="53"/>
      <c r="N3" s="57" t="s">
        <v>15</v>
      </c>
      <c r="O3" s="4">
        <f>Tabla53839[[#This Row],[FECHA]]</f>
        <v>44824</v>
      </c>
      <c r="P3" s="7">
        <f>D3</f>
        <v>0</v>
      </c>
      <c r="Q3" s="7">
        <f>E3-D3</f>
        <v>0</v>
      </c>
      <c r="R3" s="7">
        <f>F3-E3</f>
        <v>0</v>
      </c>
      <c r="S3" s="7">
        <f>G3-F3</f>
        <v>0</v>
      </c>
      <c r="T3" s="7">
        <f>+Tabla53839[[#This Row],[ALMUERZO]]-Tabla53839[[#This Row],[TERMINO ACT. AM]]</f>
        <v>0</v>
      </c>
      <c r="U3" s="7">
        <f>+Tabla53839[[#This Row],[INICIO ACTIVIDADES PM]]-Tabla53839[[#This Row],[ALMUERZO]]</f>
        <v>0</v>
      </c>
      <c r="V3" s="7">
        <f>+Tabla53839[[#This Row],[TERMINO ACTIVIDADES PM]]-Tabla53839[[#This Row],[INICIO ACTIVIDADES PM]]</f>
        <v>0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96</v>
      </c>
      <c r="B4" s="12" t="s">
        <v>26</v>
      </c>
      <c r="C4" s="4">
        <f>+Tabla5[[#This Row],[FECHA]]</f>
        <v>44825</v>
      </c>
      <c r="D4" s="37">
        <v>0.64583333333333337</v>
      </c>
      <c r="E4" s="37">
        <v>0.68055555555555547</v>
      </c>
      <c r="F4" s="37">
        <v>0.69236111111111109</v>
      </c>
      <c r="G4" s="37">
        <v>0.91111111111111109</v>
      </c>
      <c r="H4" s="37">
        <v>0.92013888888888884</v>
      </c>
      <c r="I4" s="37">
        <v>0.95138888888888884</v>
      </c>
      <c r="J4" s="46">
        <v>0.98611111111111116</v>
      </c>
      <c r="K4" s="81" t="s">
        <v>94</v>
      </c>
      <c r="M4" s="5"/>
      <c r="N4" s="5" t="s">
        <v>16</v>
      </c>
      <c r="O4" s="4">
        <f>Tabla53839[[#This Row],[FECHA]]</f>
        <v>44825</v>
      </c>
      <c r="P4" s="7">
        <f>D4</f>
        <v>0.64583333333333337</v>
      </c>
      <c r="Q4" s="7">
        <f t="shared" ref="Q4:S7" si="0">E4-D4</f>
        <v>3.4722222222222099E-2</v>
      </c>
      <c r="R4" s="7">
        <f t="shared" si="0"/>
        <v>1.1805555555555625E-2</v>
      </c>
      <c r="S4" s="7">
        <f t="shared" si="0"/>
        <v>0.21875</v>
      </c>
      <c r="T4" s="7">
        <f>+Tabla53839[[#This Row],[ALMUERZO]]-Tabla53839[[#This Row],[TERMINO ACT. AM]]</f>
        <v>9.0277777777777457E-3</v>
      </c>
      <c r="U4" s="7">
        <f>+Tabla53839[[#This Row],[INICIO ACTIVIDADES PM]]-Tabla53839[[#This Row],[ALMUERZO]]</f>
        <v>3.125E-2</v>
      </c>
      <c r="V4" s="7">
        <f>+Tabla53839[[#This Row],[TERMINO ACTIVIDADES PM]]-Tabla53839[[#This Row],[INICIO ACTIVIDADES PM]]</f>
        <v>3.4722222222222321E-2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96</v>
      </c>
      <c r="B5" s="12" t="s">
        <v>27</v>
      </c>
      <c r="C5" s="4">
        <f>+Tabla5[[#This Row],[FECHA]]</f>
        <v>44826</v>
      </c>
      <c r="D5" s="37">
        <v>0.64583333333333337</v>
      </c>
      <c r="E5" s="37">
        <v>0.68958333333333333</v>
      </c>
      <c r="F5" s="37">
        <v>0.69791666666666663</v>
      </c>
      <c r="G5" s="37">
        <v>0.90416666666666667</v>
      </c>
      <c r="H5" s="37">
        <v>0.90972222222222221</v>
      </c>
      <c r="I5" s="37">
        <v>0.94097222222222221</v>
      </c>
      <c r="J5" s="46">
        <v>0.98611111111111105</v>
      </c>
      <c r="K5" s="81" t="s">
        <v>94</v>
      </c>
      <c r="M5" s="5"/>
      <c r="N5" s="5" t="s">
        <v>16</v>
      </c>
      <c r="O5" s="4">
        <f>Tabla53839[[#This Row],[FECHA]]</f>
        <v>44826</v>
      </c>
      <c r="P5" s="7">
        <f>D5</f>
        <v>0.64583333333333337</v>
      </c>
      <c r="Q5" s="7">
        <f t="shared" si="0"/>
        <v>4.3749999999999956E-2</v>
      </c>
      <c r="R5" s="7">
        <f t="shared" si="0"/>
        <v>8.3333333333333037E-3</v>
      </c>
      <c r="S5" s="7">
        <f t="shared" si="0"/>
        <v>0.20625000000000004</v>
      </c>
      <c r="T5" s="7">
        <f>+Tabla53839[[#This Row],[ALMUERZO]]-Tabla53839[[#This Row],[TERMINO ACT. AM]]</f>
        <v>5.5555555555555358E-3</v>
      </c>
      <c r="U5" s="7">
        <f>+Tabla53839[[#This Row],[INICIO ACTIVIDADES PM]]-Tabla53839[[#This Row],[ALMUERZO]]</f>
        <v>3.125E-2</v>
      </c>
      <c r="V5" s="7">
        <f>+Tabla53839[[#This Row],[TERMINO ACTIVIDADES PM]]-Tabla53839[[#This Row],[INICIO ACTIVIDADES PM]]</f>
        <v>4.513888888888884E-2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96</v>
      </c>
      <c r="B6" s="12" t="s">
        <v>28</v>
      </c>
      <c r="C6" s="4">
        <f>+Tabla5[[#This Row],[FECHA]]</f>
        <v>44827</v>
      </c>
      <c r="D6" s="37">
        <v>0.64583333333333337</v>
      </c>
      <c r="E6" s="37">
        <v>0.6875</v>
      </c>
      <c r="F6" s="37">
        <v>0.70486111111111116</v>
      </c>
      <c r="G6" s="37">
        <v>0.92708333333333337</v>
      </c>
      <c r="H6" s="37">
        <v>0.93402777777777779</v>
      </c>
      <c r="I6" s="37">
        <v>0.95694444444444438</v>
      </c>
      <c r="J6" s="46">
        <v>0.98611111111111105</v>
      </c>
      <c r="K6" s="81" t="s">
        <v>94</v>
      </c>
      <c r="M6" s="5"/>
      <c r="N6" s="5" t="s">
        <v>17</v>
      </c>
      <c r="O6" s="4">
        <f>Tabla53839[[#This Row],[FECHA]]</f>
        <v>44827</v>
      </c>
      <c r="P6" s="7">
        <f>D6</f>
        <v>0.64583333333333337</v>
      </c>
      <c r="Q6" s="7">
        <f t="shared" si="0"/>
        <v>4.166666666666663E-2</v>
      </c>
      <c r="R6" s="7">
        <f t="shared" si="0"/>
        <v>1.736111111111116E-2</v>
      </c>
      <c r="S6" s="7">
        <f t="shared" si="0"/>
        <v>0.22222222222222221</v>
      </c>
      <c r="T6" s="7">
        <f>+Tabla53839[[#This Row],[ALMUERZO]]-Tabla53839[[#This Row],[TERMINO ACT. AM]]</f>
        <v>6.9444444444444198E-3</v>
      </c>
      <c r="U6" s="7">
        <f>+Tabla53839[[#This Row],[INICIO ACTIVIDADES PM]]-Tabla53839[[#This Row],[ALMUERZO]]</f>
        <v>2.2916666666666585E-2</v>
      </c>
      <c r="V6" s="7">
        <f>+Tabla53839[[#This Row],[TERMINO ACTIVIDADES PM]]-Tabla53839[[#This Row],[INICIO ACTIVIDADES PM]]</f>
        <v>2.9166666666666674E-2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96</v>
      </c>
      <c r="B7" s="12" t="s">
        <v>38</v>
      </c>
      <c r="C7" s="4">
        <f>+Tabla5[[#This Row],[FECHA]]</f>
        <v>44828</v>
      </c>
      <c r="D7" s="37">
        <v>0.64583333333333337</v>
      </c>
      <c r="E7" s="37">
        <v>0.68055555555555547</v>
      </c>
      <c r="F7" s="37">
        <v>0.69305555555555554</v>
      </c>
      <c r="G7" s="37">
        <v>0.91111111111111109</v>
      </c>
      <c r="H7" s="37">
        <v>0.92013888888888884</v>
      </c>
      <c r="I7" s="37">
        <v>0.94791666666666663</v>
      </c>
      <c r="J7" s="46">
        <v>0.98611111111111105</v>
      </c>
      <c r="K7" s="81" t="s">
        <v>94</v>
      </c>
      <c r="M7" s="5"/>
      <c r="N7" s="5" t="s">
        <v>18</v>
      </c>
      <c r="O7" s="4">
        <f>Tabla53839[[#This Row],[FECHA]]</f>
        <v>44828</v>
      </c>
      <c r="P7" s="7">
        <f>D7</f>
        <v>0.64583333333333337</v>
      </c>
      <c r="Q7" s="7">
        <f t="shared" si="0"/>
        <v>3.4722222222222099E-2</v>
      </c>
      <c r="R7" s="7">
        <f t="shared" si="0"/>
        <v>1.2500000000000067E-2</v>
      </c>
      <c r="S7" s="7">
        <f t="shared" si="0"/>
        <v>0.21805555555555556</v>
      </c>
      <c r="T7" s="7">
        <f>+Tabla53839[[#This Row],[ALMUERZO]]-Tabla53839[[#This Row],[TERMINO ACT. AM]]</f>
        <v>9.0277777777777457E-3</v>
      </c>
      <c r="U7" s="7">
        <f>+Tabla53839[[#This Row],[INICIO ACTIVIDADES PM]]-Tabla53839[[#This Row],[ALMUERZO]]</f>
        <v>2.777777777777779E-2</v>
      </c>
      <c r="V7" s="7">
        <f>+Tabla53839[[#This Row],[TERMINO ACTIVIDADES PM]]-Tabla53839[[#This Row],[INICIO ACTIVIDADES PM]]</f>
        <v>3.819444444444442E-2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Tabla53839[[#This Row],[Columna1]]</f>
        <v>0</v>
      </c>
      <c r="N9" s="5"/>
      <c r="O9" s="4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82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0.25347222222222232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0.25138888888888888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0.25138888888888888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0.25624999999999998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0.25312500000000004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1.0125000000000002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H27" s="178" t="s">
        <v>105</v>
      </c>
      <c r="I27" s="179" t="s">
        <v>104</v>
      </c>
      <c r="T27" s="3"/>
    </row>
    <row r="28" spans="1:20" ht="15.6" customHeight="1" x14ac:dyDescent="0.25">
      <c r="H28" s="178"/>
      <c r="I28" s="180"/>
      <c r="T28" s="3"/>
    </row>
    <row r="29" spans="1:20" ht="15.6" customHeight="1" x14ac:dyDescent="0.25">
      <c r="H29" s="178"/>
      <c r="I29" s="180"/>
      <c r="T29" s="3"/>
    </row>
    <row r="30" spans="1:20" ht="15.6" customHeight="1" x14ac:dyDescent="0.25">
      <c r="H30" s="178"/>
      <c r="I30" s="181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57"/>
  <sheetViews>
    <sheetView zoomScale="60" zoomScaleNormal="60" workbookViewId="0">
      <selection activeCell="E10" sqref="E10"/>
    </sheetView>
  </sheetViews>
  <sheetFormatPr baseColWidth="10" defaultRowHeight="15.75" x14ac:dyDescent="0.25"/>
  <cols>
    <col min="5" max="5" width="12.875" customWidth="1"/>
    <col min="6" max="6" width="16.375" customWidth="1"/>
    <col min="7" max="7" width="16.75" customWidth="1"/>
  </cols>
  <sheetData>
    <row r="1" spans="1:29" x14ac:dyDescent="0.25">
      <c r="C1" s="31" t="s">
        <v>0</v>
      </c>
      <c r="D1" s="32">
        <v>0.3125</v>
      </c>
      <c r="E1" s="32">
        <v>0.35416666666666669</v>
      </c>
      <c r="F1" s="32">
        <v>0.36458333333333331</v>
      </c>
      <c r="G1" s="32">
        <v>0.58333333333333337</v>
      </c>
      <c r="H1" s="32">
        <v>0.61111111111111105</v>
      </c>
      <c r="I1" s="32">
        <v>0.61805555555555558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96</v>
      </c>
      <c r="B3" s="12" t="s">
        <v>37</v>
      </c>
      <c r="C3" s="4">
        <f>+Tabla5[[#This Row],[FECHA]]</f>
        <v>44824</v>
      </c>
      <c r="D3" s="37"/>
      <c r="E3" s="37"/>
      <c r="F3" s="37"/>
      <c r="G3" s="37"/>
      <c r="H3" s="37"/>
      <c r="I3" s="37"/>
      <c r="J3" s="46"/>
      <c r="K3" s="47"/>
      <c r="L3" s="53"/>
      <c r="M3" s="53"/>
      <c r="N3" s="57" t="s">
        <v>15</v>
      </c>
      <c r="O3" s="4">
        <f>Tabla5383940[[#This Row],[FECHA]]</f>
        <v>44824</v>
      </c>
      <c r="P3" s="7">
        <f>D3</f>
        <v>0</v>
      </c>
      <c r="Q3" s="7">
        <f>E3-D3</f>
        <v>0</v>
      </c>
      <c r="R3" s="7">
        <f>F3-E3</f>
        <v>0</v>
      </c>
      <c r="S3" s="7">
        <f>G3-F3</f>
        <v>0</v>
      </c>
      <c r="T3" s="7">
        <f>+Tabla5383940[[#This Row],[ALMUERZO]]-Tabla5383940[[#This Row],[TERMINO ACT. AM]]</f>
        <v>0</v>
      </c>
      <c r="U3" s="7">
        <f>+Tabla5383940[[#This Row],[INICIO ACTIVIDADES PM]]-Tabla5383940[[#This Row],[ALMUERZO]]</f>
        <v>0</v>
      </c>
      <c r="V3" s="7">
        <f>+Tabla5383940[[#This Row],[TERMINO ACTIVIDADES PM]]-Tabla5383940[[#This Row],[INICIO ACTIVIDADES PM]]</f>
        <v>0</v>
      </c>
      <c r="W3" s="3">
        <f>+$D$1</f>
        <v>0.3125</v>
      </c>
      <c r="X3" s="3">
        <f>+$E$1</f>
        <v>0.35416666666666669</v>
      </c>
      <c r="Y3" s="3">
        <f>+$F$1</f>
        <v>0.36458333333333331</v>
      </c>
      <c r="Z3" s="3">
        <f>+$G$1</f>
        <v>0.58333333333333337</v>
      </c>
      <c r="AA3" s="3">
        <f>+$H$1</f>
        <v>0.61111111111111105</v>
      </c>
      <c r="AB3" s="3">
        <f>+$I$1</f>
        <v>0.61805555555555558</v>
      </c>
      <c r="AC3" s="3">
        <f>+$J$1</f>
        <v>0.66666666666666663</v>
      </c>
    </row>
    <row r="4" spans="1:29" x14ac:dyDescent="0.25">
      <c r="A4" s="12" t="s">
        <v>96</v>
      </c>
      <c r="B4" s="12" t="s">
        <v>26</v>
      </c>
      <c r="C4" s="4">
        <f>+Tabla5[[#This Row],[FECHA]]</f>
        <v>44825</v>
      </c>
      <c r="D4" s="37">
        <v>0.3125</v>
      </c>
      <c r="E4" s="37">
        <v>0.33333333333333331</v>
      </c>
      <c r="F4" s="37">
        <v>0.34722222222222227</v>
      </c>
      <c r="G4" s="37">
        <v>0.58680555555555558</v>
      </c>
      <c r="H4" s="37">
        <v>0.60069444444444442</v>
      </c>
      <c r="I4" s="37">
        <v>0.625</v>
      </c>
      <c r="J4" s="46">
        <v>0.65277777777777801</v>
      </c>
      <c r="K4" s="47"/>
      <c r="M4" s="5"/>
      <c r="N4" s="5" t="s">
        <v>16</v>
      </c>
      <c r="O4" s="4">
        <f>Tabla5383940[[#This Row],[FECHA]]</f>
        <v>44825</v>
      </c>
      <c r="P4" s="7">
        <f>D4</f>
        <v>0.3125</v>
      </c>
      <c r="Q4" s="7">
        <f t="shared" ref="Q4:S7" si="0">E4-D4</f>
        <v>2.0833333333333315E-2</v>
      </c>
      <c r="R4" s="7">
        <f t="shared" si="0"/>
        <v>1.3888888888888951E-2</v>
      </c>
      <c r="S4" s="7">
        <f t="shared" si="0"/>
        <v>0.23958333333333331</v>
      </c>
      <c r="T4" s="7">
        <f>+Tabla5383940[[#This Row],[ALMUERZO]]-Tabla5383940[[#This Row],[TERMINO ACT. AM]]</f>
        <v>1.388888888888884E-2</v>
      </c>
      <c r="U4" s="7">
        <f>+Tabla5383940[[#This Row],[INICIO ACTIVIDADES PM]]-Tabla5383940[[#This Row],[ALMUERZO]]</f>
        <v>2.430555555555558E-2</v>
      </c>
      <c r="V4" s="7">
        <f>+Tabla5383940[[#This Row],[TERMINO ACTIVIDADES PM]]-Tabla5383940[[#This Row],[INICIO ACTIVIDADES PM]]</f>
        <v>2.7777777777778012E-2</v>
      </c>
      <c r="W4" s="3">
        <f t="shared" ref="W4:W7" si="1">+$D$1</f>
        <v>0.3125</v>
      </c>
      <c r="X4" s="3">
        <f t="shared" ref="X4:X7" si="2">+$E$1</f>
        <v>0.35416666666666669</v>
      </c>
      <c r="Y4" s="3">
        <f t="shared" ref="Y4:Y7" si="3">+$F$1</f>
        <v>0.36458333333333331</v>
      </c>
      <c r="Z4" s="3">
        <f t="shared" ref="Z4:Z7" si="4">+$G$1</f>
        <v>0.58333333333333337</v>
      </c>
      <c r="AA4" s="3">
        <f t="shared" ref="AA4:AA7" si="5">+$H$1</f>
        <v>0.61111111111111105</v>
      </c>
      <c r="AB4" s="3">
        <f t="shared" ref="AB4:AB7" si="6">+$I$1</f>
        <v>0.61805555555555558</v>
      </c>
      <c r="AC4" s="3">
        <f t="shared" ref="AC4:AC7" si="7">+$J$1</f>
        <v>0.66666666666666663</v>
      </c>
    </row>
    <row r="5" spans="1:29" x14ac:dyDescent="0.25">
      <c r="A5" s="12" t="s">
        <v>96</v>
      </c>
      <c r="B5" s="12" t="s">
        <v>27</v>
      </c>
      <c r="C5" s="4">
        <f>+Tabla5[[#This Row],[FECHA]]</f>
        <v>44826</v>
      </c>
      <c r="D5" s="37">
        <v>0.31597222222222221</v>
      </c>
      <c r="E5" s="37">
        <v>0.33680555555555558</v>
      </c>
      <c r="F5" s="37">
        <v>0.35069444444444442</v>
      </c>
      <c r="G5" s="37">
        <v>0.60069444444444442</v>
      </c>
      <c r="H5" s="37">
        <v>0.61458333333333337</v>
      </c>
      <c r="I5" s="37">
        <v>0.63750000000000007</v>
      </c>
      <c r="J5" s="46">
        <v>0.65277777777777801</v>
      </c>
      <c r="K5" s="47"/>
      <c r="M5" s="5"/>
      <c r="N5" s="5" t="s">
        <v>16</v>
      </c>
      <c r="O5" s="4">
        <f>Tabla5383940[[#This Row],[FECHA]]</f>
        <v>44826</v>
      </c>
      <c r="P5" s="7">
        <f>D5</f>
        <v>0.31597222222222221</v>
      </c>
      <c r="Q5" s="7">
        <f t="shared" si="0"/>
        <v>2.083333333333337E-2</v>
      </c>
      <c r="R5" s="7">
        <f t="shared" si="0"/>
        <v>1.388888888888884E-2</v>
      </c>
      <c r="S5" s="7">
        <f t="shared" si="0"/>
        <v>0.25</v>
      </c>
      <c r="T5" s="7">
        <f>+Tabla5383940[[#This Row],[ALMUERZO]]-Tabla5383940[[#This Row],[TERMINO ACT. AM]]</f>
        <v>1.3888888888888951E-2</v>
      </c>
      <c r="U5" s="7">
        <f>+Tabla5383940[[#This Row],[INICIO ACTIVIDADES PM]]-Tabla5383940[[#This Row],[ALMUERZO]]</f>
        <v>2.2916666666666696E-2</v>
      </c>
      <c r="V5" s="7">
        <f>+Tabla5383940[[#This Row],[TERMINO ACTIVIDADES PM]]-Tabla5383940[[#This Row],[INICIO ACTIVIDADES PM]]</f>
        <v>1.5277777777777946E-2</v>
      </c>
      <c r="W5" s="3">
        <f t="shared" si="1"/>
        <v>0.3125</v>
      </c>
      <c r="X5" s="3">
        <f t="shared" si="2"/>
        <v>0.35416666666666669</v>
      </c>
      <c r="Y5" s="3">
        <f t="shared" si="3"/>
        <v>0.36458333333333331</v>
      </c>
      <c r="Z5" s="3">
        <f t="shared" si="4"/>
        <v>0.58333333333333337</v>
      </c>
      <c r="AA5" s="3">
        <f t="shared" si="5"/>
        <v>0.61111111111111105</v>
      </c>
      <c r="AB5" s="3">
        <f t="shared" si="6"/>
        <v>0.61805555555555558</v>
      </c>
      <c r="AC5" s="3">
        <f t="shared" si="7"/>
        <v>0.66666666666666663</v>
      </c>
    </row>
    <row r="6" spans="1:29" x14ac:dyDescent="0.25">
      <c r="A6" s="12" t="s">
        <v>96</v>
      </c>
      <c r="B6" s="12" t="s">
        <v>28</v>
      </c>
      <c r="C6" s="4">
        <f>+Tabla5[[#This Row],[FECHA]]</f>
        <v>44827</v>
      </c>
      <c r="D6" s="37">
        <v>0.3125</v>
      </c>
      <c r="E6" s="37">
        <v>0.33333333333333331</v>
      </c>
      <c r="F6" s="37">
        <v>0.35416666666666669</v>
      </c>
      <c r="G6" s="37">
        <v>0.57013888888888886</v>
      </c>
      <c r="H6" s="37">
        <v>0.58680555555555558</v>
      </c>
      <c r="I6" s="37">
        <v>0.61458333333333337</v>
      </c>
      <c r="J6" s="46">
        <v>0.65277777777777779</v>
      </c>
      <c r="K6" s="47"/>
      <c r="M6" s="5"/>
      <c r="N6" s="5" t="s">
        <v>17</v>
      </c>
      <c r="O6" s="4">
        <f>Tabla5383940[[#This Row],[FECHA]]</f>
        <v>44827</v>
      </c>
      <c r="P6" s="7">
        <f>D6</f>
        <v>0.3125</v>
      </c>
      <c r="Q6" s="7">
        <f t="shared" si="0"/>
        <v>2.0833333333333315E-2</v>
      </c>
      <c r="R6" s="7">
        <f t="shared" si="0"/>
        <v>2.083333333333337E-2</v>
      </c>
      <c r="S6" s="7">
        <f t="shared" si="0"/>
        <v>0.21597222222222218</v>
      </c>
      <c r="T6" s="7">
        <f>+Tabla5383940[[#This Row],[ALMUERZO]]-Tabla5383940[[#This Row],[TERMINO ACT. AM]]</f>
        <v>1.6666666666666718E-2</v>
      </c>
      <c r="U6" s="7">
        <f>+Tabla5383940[[#This Row],[INICIO ACTIVIDADES PM]]-Tabla5383940[[#This Row],[ALMUERZO]]</f>
        <v>2.777777777777779E-2</v>
      </c>
      <c r="V6" s="7">
        <f>+Tabla5383940[[#This Row],[TERMINO ACTIVIDADES PM]]-Tabla5383940[[#This Row],[INICIO ACTIVIDADES PM]]</f>
        <v>3.819444444444442E-2</v>
      </c>
      <c r="W6" s="3">
        <f t="shared" si="1"/>
        <v>0.3125</v>
      </c>
      <c r="X6" s="3">
        <f t="shared" si="2"/>
        <v>0.35416666666666669</v>
      </c>
      <c r="Y6" s="3">
        <f t="shared" si="3"/>
        <v>0.36458333333333331</v>
      </c>
      <c r="Z6" s="3">
        <f t="shared" si="4"/>
        <v>0.58333333333333337</v>
      </c>
      <c r="AA6" s="3">
        <f t="shared" si="5"/>
        <v>0.61111111111111105</v>
      </c>
      <c r="AB6" s="3">
        <f t="shared" si="6"/>
        <v>0.61805555555555558</v>
      </c>
      <c r="AC6" s="3">
        <f t="shared" si="7"/>
        <v>0.66666666666666663</v>
      </c>
    </row>
    <row r="7" spans="1:29" x14ac:dyDescent="0.25">
      <c r="A7" s="12" t="s">
        <v>96</v>
      </c>
      <c r="B7" s="12" t="s">
        <v>38</v>
      </c>
      <c r="C7" s="4">
        <f>+Tabla5[[#This Row],[FECHA]]</f>
        <v>44828</v>
      </c>
      <c r="D7" s="37">
        <v>0.3125</v>
      </c>
      <c r="E7" s="37">
        <v>0.33333333333333331</v>
      </c>
      <c r="F7" s="37">
        <v>0.35416666666666669</v>
      </c>
      <c r="G7" s="37">
        <v>0.54166666666666663</v>
      </c>
      <c r="H7" s="37">
        <v>0.55555555555555558</v>
      </c>
      <c r="I7" s="37">
        <v>0.57986111111111105</v>
      </c>
      <c r="J7" s="46">
        <v>0.65277777777777779</v>
      </c>
      <c r="K7" s="47"/>
      <c r="M7" s="5"/>
      <c r="N7" s="5" t="s">
        <v>18</v>
      </c>
      <c r="O7" s="4">
        <f>Tabla5383940[[#This Row],[FECHA]]</f>
        <v>44828</v>
      </c>
      <c r="P7" s="7">
        <f>D7</f>
        <v>0.3125</v>
      </c>
      <c r="Q7" s="7">
        <f t="shared" si="0"/>
        <v>2.0833333333333315E-2</v>
      </c>
      <c r="R7" s="7">
        <f t="shared" si="0"/>
        <v>2.083333333333337E-2</v>
      </c>
      <c r="S7" s="7">
        <f t="shared" si="0"/>
        <v>0.18749999999999994</v>
      </c>
      <c r="T7" s="7">
        <f>+Tabla5383940[[#This Row],[ALMUERZO]]-Tabla5383940[[#This Row],[TERMINO ACT. AM]]</f>
        <v>1.3888888888888951E-2</v>
      </c>
      <c r="U7" s="7">
        <f>+Tabla5383940[[#This Row],[INICIO ACTIVIDADES PM]]-Tabla5383940[[#This Row],[ALMUERZO]]</f>
        <v>2.4305555555555469E-2</v>
      </c>
      <c r="V7" s="7">
        <f>+Tabla5383940[[#This Row],[TERMINO ACTIVIDADES PM]]-Tabla5383940[[#This Row],[INICIO ACTIVIDADES PM]]</f>
        <v>7.2916666666666741E-2</v>
      </c>
      <c r="W7" s="3">
        <f t="shared" si="1"/>
        <v>0.3125</v>
      </c>
      <c r="X7" s="3">
        <f t="shared" si="2"/>
        <v>0.35416666666666669</v>
      </c>
      <c r="Y7" s="3">
        <f t="shared" si="3"/>
        <v>0.36458333333333331</v>
      </c>
      <c r="Z7" s="3">
        <f t="shared" si="4"/>
        <v>0.58333333333333337</v>
      </c>
      <c r="AA7" s="3">
        <f t="shared" si="5"/>
        <v>0.61111111111111105</v>
      </c>
      <c r="AB7" s="3">
        <f t="shared" si="6"/>
        <v>0.61805555555555558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Tabla5383940[[#This Row],[Columna1]]</f>
        <v>0</v>
      </c>
      <c r="N9" s="5"/>
      <c r="O9" s="4"/>
      <c r="P9" s="7"/>
      <c r="Q9" s="7"/>
      <c r="R9" s="7"/>
      <c r="S9" s="7"/>
      <c r="T9" s="7"/>
      <c r="U9" s="29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83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0.26736111111111133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0.26527777777777795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0.2541666666666666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0.26041666666666669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0.26180555555555568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1.0472222222222227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78" t="s">
        <v>105</v>
      </c>
      <c r="J27" s="179" t="s">
        <v>103</v>
      </c>
      <c r="T27" s="3"/>
    </row>
    <row r="28" spans="1:20" ht="15.6" customHeight="1" x14ac:dyDescent="0.25">
      <c r="I28" s="178"/>
      <c r="J28" s="180"/>
      <c r="T28" s="3"/>
    </row>
    <row r="29" spans="1:20" ht="15.6" customHeight="1" x14ac:dyDescent="0.25">
      <c r="I29" s="178"/>
      <c r="J29" s="180"/>
      <c r="T29" s="3"/>
    </row>
    <row r="30" spans="1:20" ht="15.6" customHeight="1" x14ac:dyDescent="0.25">
      <c r="I30" s="178"/>
      <c r="J30" s="181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TTE 6 </vt:lpstr>
      <vt:lpstr>SUB 5</vt:lpstr>
      <vt:lpstr>SUB 6</vt:lpstr>
      <vt:lpstr>PIPA N</vt:lpstr>
      <vt:lpstr>DIABLO</vt:lpstr>
      <vt:lpstr>ACCU</vt:lpstr>
      <vt:lpstr>Salvataje</vt:lpstr>
      <vt:lpstr>Vent </vt:lpstr>
      <vt:lpstr>P M</vt:lpstr>
      <vt:lpstr>AC</vt:lpstr>
      <vt:lpstr>Colec</vt:lpstr>
      <vt:lpstr>LA JUNTA</vt:lpstr>
      <vt:lpstr>TTE 7</vt:lpstr>
      <vt:lpstr>CH colon</vt:lpstr>
      <vt:lpstr>Disc Op</vt:lpstr>
      <vt:lpstr>VIMO</vt:lpstr>
      <vt:lpstr>Brocales</vt:lpstr>
      <vt:lpstr>Est sup</vt:lpstr>
      <vt:lpstr>Est mina</vt:lpstr>
      <vt:lpstr>Est ACU</vt:lpstr>
      <vt:lpstr>Tableros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BARRIA VERDUGO</dc:creator>
  <cp:lastModifiedBy>Gabriel Carvajal Marambio</cp:lastModifiedBy>
  <cp:lastPrinted>2019-05-16T16:03:05Z</cp:lastPrinted>
  <dcterms:created xsi:type="dcterms:W3CDTF">2019-05-14T14:59:48Z</dcterms:created>
  <dcterms:modified xsi:type="dcterms:W3CDTF">2022-09-28T21:30:39Z</dcterms:modified>
</cp:coreProperties>
</file>