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eorge\Desktop\Analytics Projects\"/>
    </mc:Choice>
  </mc:AlternateContent>
  <xr:revisionPtr revIDLastSave="0" documentId="13_ncr:1_{7CA5722C-6818-4A41-B2D2-FE6DAE107D37}" xr6:coauthVersionLast="47" xr6:coauthVersionMax="47" xr10:uidLastSave="{00000000-0000-0000-0000-000000000000}"/>
  <bookViews>
    <workbookView xWindow="-108" yWindow="-108" windowWidth="23256" windowHeight="12576" firstSheet="2" activeTab="7" xr2:uid="{00000000-000D-0000-FFFF-FFFF00000000}"/>
  </bookViews>
  <sheets>
    <sheet name="Profit Model" sheetId="1" r:id="rId1"/>
    <sheet name="Data-Model" sheetId="3" r:id="rId2"/>
    <sheet name="NPV Forecast" sheetId="5" r:id="rId3"/>
    <sheet name="Moore Pharmaceuticals" sheetId="6" r:id="rId4"/>
    <sheet name="Retirement Plan" sheetId="7" r:id="rId5"/>
    <sheet name="Newsvendor Model" sheetId="8" r:id="rId6"/>
    <sheet name="Price-Sales Data" sheetId="10" r:id="rId7"/>
    <sheet name="Order Model" sheetId="11" r:id="rId8"/>
  </sheets>
  <definedNames>
    <definedName name="Administrative_Expenses">#REF!</definedName>
    <definedName name="AmtBorrowed">#REF!</definedName>
    <definedName name="AnnualInterestRate">#REF!</definedName>
    <definedName name="CBWorkbookPriority" hidden="1">-1309320981</definedName>
    <definedName name="ClearanceMkdn">#REF!</definedName>
    <definedName name="Cost_of_Goods_Sold">#REF!</definedName>
    <definedName name="DaysFullRetail">#REF!</definedName>
    <definedName name="Depreciation_Expenses">#REF!</definedName>
    <definedName name="Interest_Expense">#REF!</definedName>
    <definedName name="IntMkdn">#REF!</definedName>
    <definedName name="Inventory">#REF!</definedName>
    <definedName name="LineIntercept">#REF!</definedName>
    <definedName name="LineSlope">#REF!</definedName>
    <definedName name="Periods">#REF!</definedName>
    <definedName name="Retail">#REF!</definedName>
    <definedName name="Sales">#REF!</definedName>
    <definedName name="Selling_Expenses">#REF!</definedName>
    <definedName name="SellingSeason">#REF!</definedName>
    <definedName name="solver_typ" localSheetId="1" hidden="1">2</definedName>
    <definedName name="solver_typ" localSheetId="5" hidden="1">2</definedName>
    <definedName name="solver_ver" localSheetId="1" hidden="1">10</definedName>
    <definedName name="solver_ver" localSheetId="5" hidden="1">11</definedName>
    <definedName name="Taxes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1" l="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11" i="11"/>
  <c r="E11" i="11"/>
  <c r="E10" i="11"/>
  <c r="D11" i="11"/>
  <c r="C11" i="11"/>
  <c r="F10" i="11"/>
  <c r="C10" i="11"/>
  <c r="D10" i="11"/>
  <c r="B27" i="10"/>
  <c r="B26" i="10"/>
  <c r="L9" i="10"/>
  <c r="L8" i="10"/>
  <c r="B19" i="8"/>
  <c r="B18" i="8"/>
  <c r="B17" i="8"/>
  <c r="E42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C25" i="7"/>
  <c r="D25" i="7"/>
  <c r="C26" i="7"/>
  <c r="D26" i="7"/>
  <c r="C27" i="7"/>
  <c r="D27" i="7"/>
  <c r="C28" i="7"/>
  <c r="D28" i="7"/>
  <c r="C29" i="7"/>
  <c r="D29" i="7"/>
  <c r="C30" i="7"/>
  <c r="D30" i="7"/>
  <c r="C31" i="7"/>
  <c r="D31" i="7"/>
  <c r="C32" i="7"/>
  <c r="D32" i="7"/>
  <c r="C33" i="7"/>
  <c r="D33" i="7"/>
  <c r="C34" i="7"/>
  <c r="D34" i="7"/>
  <c r="C35" i="7"/>
  <c r="D35" i="7"/>
  <c r="C36" i="7"/>
  <c r="D36" i="7"/>
  <c r="C37" i="7"/>
  <c r="D37" i="7"/>
  <c r="C38" i="7"/>
  <c r="D38" i="7"/>
  <c r="C39" i="7"/>
  <c r="D39" i="7"/>
  <c r="C40" i="7"/>
  <c r="D40" i="7"/>
  <c r="C41" i="7"/>
  <c r="D41" i="7"/>
  <c r="C42" i="7"/>
  <c r="D42" i="7"/>
  <c r="C15" i="7"/>
  <c r="C14" i="7"/>
  <c r="D14" i="7"/>
  <c r="E14" i="7"/>
  <c r="D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15" i="7"/>
  <c r="B30" i="6"/>
  <c r="F28" i="6"/>
  <c r="E28" i="6"/>
  <c r="D28" i="6"/>
  <c r="C28" i="6"/>
  <c r="C26" i="6"/>
  <c r="D26" i="6"/>
  <c r="E26" i="6"/>
  <c r="F26" i="6"/>
  <c r="B26" i="6"/>
  <c r="B28" i="6"/>
  <c r="C25" i="6"/>
  <c r="D25" i="6"/>
  <c r="E25" i="6"/>
  <c r="F25" i="6"/>
  <c r="C24" i="6"/>
  <c r="D24" i="6"/>
  <c r="E24" i="6"/>
  <c r="F24" i="6"/>
  <c r="B25" i="6"/>
  <c r="B24" i="6"/>
  <c r="C22" i="6"/>
  <c r="D22" i="6"/>
  <c r="E22" i="6"/>
  <c r="F22" i="6"/>
  <c r="B22" i="6"/>
  <c r="D21" i="6"/>
  <c r="E21" i="6"/>
  <c r="F21" i="6"/>
  <c r="C21" i="6"/>
  <c r="D19" i="6"/>
  <c r="E19" i="6"/>
  <c r="F19" i="6"/>
  <c r="C19" i="6"/>
  <c r="B19" i="6"/>
  <c r="B13" i="6"/>
  <c r="B14" i="8"/>
  <c r="B15" i="8"/>
  <c r="B20" i="8"/>
  <c r="B8" i="5"/>
  <c r="B15" i="3"/>
  <c r="B16" i="3"/>
  <c r="B17" i="3"/>
  <c r="B18" i="3"/>
  <c r="B20" i="3"/>
  <c r="B14" i="1"/>
  <c r="B13" i="1"/>
  <c r="C15" i="1"/>
  <c r="B17" i="1"/>
  <c r="C19" i="1"/>
  <c r="C20" i="1"/>
  <c r="C22" i="1"/>
</calcChain>
</file>

<file path=xl/sharedStrings.xml><?xml version="1.0" encoding="utf-8"?>
<sst xmlns="http://schemas.openxmlformats.org/spreadsheetml/2006/main" count="103" uniqueCount="80">
  <si>
    <t>Profit Model</t>
  </si>
  <si>
    <t>Unit Price</t>
  </si>
  <si>
    <t>Unit Cost</t>
  </si>
  <si>
    <t>Fixed Cost</t>
  </si>
  <si>
    <t>Model</t>
  </si>
  <si>
    <t>Quantity Sold</t>
  </si>
  <si>
    <t>Revenue</t>
  </si>
  <si>
    <t>Quantity Produced</t>
  </si>
  <si>
    <t>Variable Cost</t>
  </si>
  <si>
    <t>Profit</t>
  </si>
  <si>
    <t>Demand</t>
  </si>
  <si>
    <t>Data</t>
  </si>
  <si>
    <t>Net Income</t>
  </si>
  <si>
    <t>Taxes</t>
  </si>
  <si>
    <t>Interest Expense</t>
  </si>
  <si>
    <t>Depreciation Expenses</t>
  </si>
  <si>
    <t>Selling Expenses</t>
  </si>
  <si>
    <t>Administrative Expenses</t>
  </si>
  <si>
    <t>Cost of Goods Sold</t>
  </si>
  <si>
    <t>Sales</t>
  </si>
  <si>
    <t>Earnings Before Taxes</t>
  </si>
  <si>
    <t>Net Operating Income</t>
  </si>
  <si>
    <t>Operating Expenses</t>
  </si>
  <si>
    <t>Gross Profit</t>
  </si>
  <si>
    <t xml:space="preserve">Data </t>
  </si>
  <si>
    <t>Net Income Model - Data Model Format</t>
  </si>
  <si>
    <t>NPV</t>
  </si>
  <si>
    <t>Discount Rate</t>
  </si>
  <si>
    <t>Sales Revenue Forecast</t>
  </si>
  <si>
    <t>Year</t>
  </si>
  <si>
    <t>Net Present Value</t>
  </si>
  <si>
    <t>Cumulative Net Profit</t>
  </si>
  <si>
    <t>Annual Costs</t>
  </si>
  <si>
    <t>Annual Revenue</t>
  </si>
  <si>
    <t>Market share</t>
  </si>
  <si>
    <t>Market share growth rate</t>
  </si>
  <si>
    <t>Market size</t>
  </si>
  <si>
    <t>Market growth factor</t>
  </si>
  <si>
    <t xml:space="preserve">Total Project Costs </t>
  </si>
  <si>
    <t>Clinical Trials</t>
  </si>
  <si>
    <t xml:space="preserve">R&amp;D </t>
  </si>
  <si>
    <t>Project Costs</t>
  </si>
  <si>
    <t>Discount rate</t>
  </si>
  <si>
    <t>Unit (monthly Rx) cost</t>
  </si>
  <si>
    <t>Unit (monthly Rx) revenue</t>
  </si>
  <si>
    <t>Moore Pharmaceuticals</t>
  </si>
  <si>
    <t>Balance</t>
  </si>
  <si>
    <t>Contribution</t>
  </si>
  <si>
    <t>Salary</t>
  </si>
  <si>
    <t>Age</t>
  </si>
  <si>
    <t xml:space="preserve">Employer  </t>
  </si>
  <si>
    <t>Employee</t>
  </si>
  <si>
    <t>Annual return on investment</t>
  </si>
  <si>
    <t>Annual salary increase</t>
  </si>
  <si>
    <t>Employer match</t>
  </si>
  <si>
    <t>Retirement contribution (% of salary)</t>
  </si>
  <si>
    <t>Retirement Plan Model</t>
  </si>
  <si>
    <t>Investment</t>
  </si>
  <si>
    <t>Surplus Quantity</t>
  </si>
  <si>
    <t>Purchase Quantity</t>
  </si>
  <si>
    <t>Discount price</t>
  </si>
  <si>
    <t>Cost</t>
  </si>
  <si>
    <t>Selling price</t>
  </si>
  <si>
    <t>Newsvendor Model</t>
  </si>
  <si>
    <t>Price</t>
  </si>
  <si>
    <t>Price-Sales Data</t>
  </si>
  <si>
    <t>Salavage</t>
  </si>
  <si>
    <t>Slope</t>
  </si>
  <si>
    <t>Intercept</t>
  </si>
  <si>
    <t>DATA</t>
  </si>
  <si>
    <t>Vistors this month</t>
  </si>
  <si>
    <t>Placed orders</t>
  </si>
  <si>
    <t>Avg. Order</t>
  </si>
  <si>
    <t>Expected monthly visitor increase</t>
  </si>
  <si>
    <t>MODEL</t>
  </si>
  <si>
    <t>Month</t>
  </si>
  <si>
    <t>Visitors</t>
  </si>
  <si>
    <t>Orders</t>
  </si>
  <si>
    <t>Avg. Order Amount</t>
  </si>
  <si>
    <t>Avg. order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</si>
</sst>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&quot;$&quot;* #,##0_);_(&quot;$&quot;* \(#,##0\);_(&quot;$&quot;* &quot;-&quot;??_);_(@_)"/>
    <numFmt numFmtId="166" formatCode="_(&quot;$&quot;* #,##0_);_(&quot;$&quot;* \(#,##0\);_(&quot;$&quot;* &quot;-&quot;?_);_(@_)"/>
    <numFmt numFmtId="167" formatCode="_(* #,##0_);_(* \(#,##0\);_(* &quot;-&quot;??_);_(@_)"/>
  </numFmts>
  <fonts count="1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sz val="12"/>
      <color theme="1"/>
      <name val="Calibri"/>
      <family val="2"/>
      <charset val="128"/>
      <scheme val="minor"/>
    </font>
    <font>
      <sz val="10"/>
      <name val="Verdana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</borders>
  <cellStyleXfs count="15">
    <xf numFmtId="0" fontId="0" fillId="0" borderId="0"/>
    <xf numFmtId="0" fontId="2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0" fillId="0" borderId="0"/>
    <xf numFmtId="0" fontId="1" fillId="0" borderId="0"/>
    <xf numFmtId="44" fontId="1" fillId="0" borderId="0" applyFont="0" applyFill="0" applyBorder="0" applyAlignment="0" applyProtection="0"/>
    <xf numFmtId="0" fontId="11" fillId="0" borderId="0"/>
    <xf numFmtId="4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4" fontId="12" fillId="0" borderId="0" applyFont="0" applyFill="0" applyBorder="0" applyAlignment="0" applyProtection="0"/>
  </cellStyleXfs>
  <cellXfs count="123">
    <xf numFmtId="0" fontId="0" fillId="0" borderId="0" xfId="0"/>
    <xf numFmtId="0" fontId="5" fillId="0" borderId="0" xfId="0" applyFont="1" applyFill="1"/>
    <xf numFmtId="0" fontId="3" fillId="0" borderId="0" xfId="0" applyFont="1"/>
    <xf numFmtId="0" fontId="4" fillId="0" borderId="0" xfId="0" applyFont="1"/>
    <xf numFmtId="164" fontId="4" fillId="2" borderId="3" xfId="0" applyNumberFormat="1" applyFont="1" applyFill="1" applyBorder="1" applyAlignment="1">
      <alignment horizontal="right"/>
    </xf>
    <xf numFmtId="164" fontId="4" fillId="2" borderId="5" xfId="0" applyNumberFormat="1" applyFont="1" applyFill="1" applyBorder="1" applyAlignment="1">
      <alignment horizontal="right"/>
    </xf>
    <xf numFmtId="0" fontId="4" fillId="2" borderId="7" xfId="0" applyFont="1" applyFill="1" applyBorder="1"/>
    <xf numFmtId="0" fontId="3" fillId="2" borderId="2" xfId="0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3" fillId="2" borderId="6" xfId="0" applyFont="1" applyFill="1" applyBorder="1" applyAlignment="1">
      <alignment horizontal="right"/>
    </xf>
    <xf numFmtId="0" fontId="4" fillId="0" borderId="0" xfId="0" applyFont="1" applyFill="1" applyBorder="1"/>
    <xf numFmtId="0" fontId="3" fillId="0" borderId="0" xfId="0" applyFont="1" applyFill="1" applyBorder="1" applyAlignment="1">
      <alignment horizontal="right"/>
    </xf>
    <xf numFmtId="164" fontId="4" fillId="4" borderId="1" xfId="0" applyNumberFormat="1" applyFont="1" applyFill="1" applyBorder="1"/>
    <xf numFmtId="164" fontId="4" fillId="3" borderId="0" xfId="0" applyNumberFormat="1" applyFont="1" applyFill="1" applyBorder="1"/>
    <xf numFmtId="0" fontId="4" fillId="3" borderId="0" xfId="0" applyFont="1" applyFill="1" applyBorder="1"/>
    <xf numFmtId="164" fontId="3" fillId="3" borderId="2" xfId="0" applyNumberFormat="1" applyFont="1" applyFill="1" applyBorder="1" applyAlignment="1">
      <alignment horizontal="right"/>
    </xf>
    <xf numFmtId="164" fontId="4" fillId="3" borderId="8" xfId="0" applyNumberFormat="1" applyFont="1" applyFill="1" applyBorder="1"/>
    <xf numFmtId="0" fontId="4" fillId="3" borderId="3" xfId="0" applyFont="1" applyFill="1" applyBorder="1"/>
    <xf numFmtId="0" fontId="3" fillId="3" borderId="4" xfId="0" applyFont="1" applyFill="1" applyBorder="1" applyAlignment="1">
      <alignment horizontal="right"/>
    </xf>
    <xf numFmtId="0" fontId="4" fillId="3" borderId="5" xfId="0" applyFont="1" applyFill="1" applyBorder="1"/>
    <xf numFmtId="164" fontId="4" fillId="3" borderId="5" xfId="0" applyNumberFormat="1" applyFont="1" applyFill="1" applyBorder="1"/>
    <xf numFmtId="0" fontId="3" fillId="3" borderId="6" xfId="0" applyFont="1" applyFill="1" applyBorder="1" applyAlignment="1">
      <alignment horizontal="right"/>
    </xf>
    <xf numFmtId="0" fontId="4" fillId="3" borderId="9" xfId="0" applyFont="1" applyFill="1" applyBorder="1"/>
    <xf numFmtId="164" fontId="4" fillId="3" borderId="7" xfId="0" applyNumberFormat="1" applyFont="1" applyFill="1" applyBorder="1"/>
    <xf numFmtId="0" fontId="7" fillId="0" borderId="0" xfId="1" applyFont="1"/>
    <xf numFmtId="0" fontId="8" fillId="0" borderId="0" xfId="1" applyFont="1"/>
    <xf numFmtId="0" fontId="8" fillId="2" borderId="6" xfId="1" applyFont="1" applyFill="1" applyBorder="1" applyAlignment="1">
      <alignment horizontal="left"/>
    </xf>
    <xf numFmtId="165" fontId="7" fillId="2" borderId="5" xfId="1" applyNumberFormat="1" applyFont="1" applyFill="1" applyBorder="1"/>
    <xf numFmtId="0" fontId="8" fillId="2" borderId="4" xfId="1" applyFont="1" applyFill="1" applyBorder="1" applyAlignment="1">
      <alignment horizontal="left"/>
    </xf>
    <xf numFmtId="165" fontId="7" fillId="2" borderId="3" xfId="1" applyNumberFormat="1" applyFont="1" applyFill="1" applyBorder="1"/>
    <xf numFmtId="0" fontId="8" fillId="2" borderId="2" xfId="1" applyFont="1" applyFill="1" applyBorder="1" applyAlignment="1">
      <alignment horizontal="left"/>
    </xf>
    <xf numFmtId="165" fontId="7" fillId="4" borderId="1" xfId="1" applyNumberFormat="1" applyFont="1" applyFill="1" applyBorder="1"/>
    <xf numFmtId="0" fontId="8" fillId="0" borderId="0" xfId="1" applyFont="1" applyAlignment="1">
      <alignment horizontal="left"/>
    </xf>
    <xf numFmtId="165" fontId="7" fillId="3" borderId="7" xfId="1" applyNumberFormat="1" applyFont="1" applyFill="1" applyBorder="1"/>
    <xf numFmtId="0" fontId="8" fillId="3" borderId="6" xfId="1" applyFont="1" applyFill="1" applyBorder="1" applyAlignment="1">
      <alignment horizontal="left"/>
    </xf>
    <xf numFmtId="165" fontId="7" fillId="3" borderId="5" xfId="1" applyNumberFormat="1" applyFont="1" applyFill="1" applyBorder="1"/>
    <xf numFmtId="0" fontId="8" fillId="3" borderId="4" xfId="1" applyFont="1" applyFill="1" applyBorder="1" applyAlignment="1">
      <alignment horizontal="left"/>
    </xf>
    <xf numFmtId="165" fontId="7" fillId="3" borderId="3" xfId="1" applyNumberFormat="1" applyFont="1" applyFill="1" applyBorder="1"/>
    <xf numFmtId="0" fontId="8" fillId="3" borderId="2" xfId="1" applyFont="1" applyFill="1" applyBorder="1" applyAlignment="1">
      <alignment horizontal="left"/>
    </xf>
    <xf numFmtId="166" fontId="7" fillId="2" borderId="7" xfId="1" applyNumberFormat="1" applyFont="1" applyFill="1" applyBorder="1"/>
    <xf numFmtId="165" fontId="7" fillId="0" borderId="0" xfId="1" applyNumberFormat="1" applyFont="1"/>
    <xf numFmtId="0" fontId="8" fillId="0" borderId="0" xfId="1" applyFont="1" applyAlignment="1">
      <alignment horizontal="right"/>
    </xf>
    <xf numFmtId="0" fontId="2" fillId="0" borderId="0" xfId="1"/>
    <xf numFmtId="8" fontId="2" fillId="0" borderId="0" xfId="1" applyNumberFormat="1"/>
    <xf numFmtId="0" fontId="6" fillId="0" borderId="0" xfId="1" applyFont="1"/>
    <xf numFmtId="9" fontId="2" fillId="0" borderId="0" xfId="1" applyNumberFormat="1"/>
    <xf numFmtId="165" fontId="0" fillId="0" borderId="0" xfId="2" applyNumberFormat="1" applyFont="1"/>
    <xf numFmtId="165" fontId="7" fillId="4" borderId="11" xfId="1" applyNumberFormat="1" applyFont="1" applyFill="1" applyBorder="1"/>
    <xf numFmtId="165" fontId="7" fillId="4" borderId="10" xfId="1" applyNumberFormat="1" applyFont="1" applyFill="1" applyBorder="1"/>
    <xf numFmtId="165" fontId="7" fillId="3" borderId="9" xfId="1" applyNumberFormat="1" applyFont="1" applyFill="1" applyBorder="1"/>
    <xf numFmtId="0" fontId="8" fillId="3" borderId="6" xfId="1" applyFont="1" applyFill="1" applyBorder="1" applyAlignment="1">
      <alignment horizontal="right"/>
    </xf>
    <xf numFmtId="165" fontId="7" fillId="3" borderId="13" xfId="2" applyNumberFormat="1" applyFont="1" applyFill="1" applyBorder="1"/>
    <xf numFmtId="0" fontId="8" fillId="3" borderId="14" xfId="1" applyFont="1" applyFill="1" applyBorder="1" applyAlignment="1">
      <alignment horizontal="right"/>
    </xf>
    <xf numFmtId="165" fontId="7" fillId="3" borderId="0" xfId="1" applyNumberFormat="1" applyFont="1" applyFill="1" applyBorder="1"/>
    <xf numFmtId="0" fontId="8" fillId="3" borderId="4" xfId="1" applyFont="1" applyFill="1" applyBorder="1" applyAlignment="1">
      <alignment horizontal="right"/>
    </xf>
    <xf numFmtId="167" fontId="7" fillId="3" borderId="5" xfId="3" applyNumberFormat="1" applyFont="1" applyFill="1" applyBorder="1"/>
    <xf numFmtId="167" fontId="7" fillId="3" borderId="0" xfId="3" applyNumberFormat="1" applyFont="1" applyFill="1" applyBorder="1"/>
    <xf numFmtId="10" fontId="7" fillId="3" borderId="0" xfId="4" applyNumberFormat="1" applyFont="1" applyFill="1" applyBorder="1"/>
    <xf numFmtId="10" fontId="7" fillId="3" borderId="0" xfId="1" applyNumberFormat="1" applyFont="1" applyFill="1" applyBorder="1"/>
    <xf numFmtId="0" fontId="7" fillId="3" borderId="0" xfId="1" applyFont="1" applyFill="1" applyBorder="1"/>
    <xf numFmtId="3" fontId="7" fillId="3" borderId="0" xfId="1" applyNumberFormat="1" applyFont="1" applyFill="1" applyBorder="1"/>
    <xf numFmtId="0" fontId="8" fillId="3" borderId="3" xfId="1" applyFont="1" applyFill="1" applyBorder="1"/>
    <xf numFmtId="0" fontId="8" fillId="3" borderId="8" xfId="1" applyFont="1" applyFill="1" applyBorder="1"/>
    <xf numFmtId="0" fontId="8" fillId="3" borderId="2" xfId="1" applyFont="1" applyFill="1" applyBorder="1" applyAlignment="1">
      <alignment horizontal="right"/>
    </xf>
    <xf numFmtId="165" fontId="7" fillId="0" borderId="0" xfId="2" applyNumberFormat="1" applyFont="1"/>
    <xf numFmtId="165" fontId="7" fillId="2" borderId="7" xfId="2" applyNumberFormat="1" applyFont="1" applyFill="1" applyBorder="1"/>
    <xf numFmtId="0" fontId="8" fillId="2" borderId="6" xfId="1" applyFont="1" applyFill="1" applyBorder="1" applyAlignment="1">
      <alignment horizontal="right"/>
    </xf>
    <xf numFmtId="165" fontId="7" fillId="2" borderId="12" xfId="2" applyNumberFormat="1" applyFont="1" applyFill="1" applyBorder="1"/>
    <xf numFmtId="0" fontId="8" fillId="2" borderId="14" xfId="1" applyFont="1" applyFill="1" applyBorder="1" applyAlignment="1">
      <alignment horizontal="right"/>
    </xf>
    <xf numFmtId="165" fontId="7" fillId="2" borderId="5" xfId="2" applyNumberFormat="1" applyFont="1" applyFill="1" applyBorder="1"/>
    <xf numFmtId="0" fontId="8" fillId="2" borderId="4" xfId="1" applyFont="1" applyFill="1" applyBorder="1" applyAlignment="1">
      <alignment horizontal="right"/>
    </xf>
    <xf numFmtId="0" fontId="7" fillId="2" borderId="5" xfId="1" applyFont="1" applyFill="1" applyBorder="1"/>
    <xf numFmtId="0" fontId="9" fillId="2" borderId="4" xfId="1" applyFont="1" applyFill="1" applyBorder="1" applyAlignment="1">
      <alignment horizontal="right"/>
    </xf>
    <xf numFmtId="9" fontId="7" fillId="2" borderId="5" xfId="2" applyNumberFormat="1" applyFont="1" applyFill="1" applyBorder="1"/>
    <xf numFmtId="0" fontId="8" fillId="2" borderId="4" xfId="1" applyFont="1" applyFill="1" applyBorder="1"/>
    <xf numFmtId="44" fontId="7" fillId="2" borderId="5" xfId="2" applyFont="1" applyFill="1" applyBorder="1"/>
    <xf numFmtId="3" fontId="7" fillId="2" borderId="3" xfId="1" applyNumberFormat="1" applyFont="1" applyFill="1" applyBorder="1"/>
    <xf numFmtId="0" fontId="8" fillId="2" borderId="2" xfId="1" applyFont="1" applyFill="1" applyBorder="1" applyAlignment="1">
      <alignment horizontal="right"/>
    </xf>
    <xf numFmtId="0" fontId="7" fillId="3" borderId="6" xfId="1" applyFont="1" applyFill="1" applyBorder="1"/>
    <xf numFmtId="6" fontId="7" fillId="3" borderId="5" xfId="1" applyNumberFormat="1" applyFont="1" applyFill="1" applyBorder="1"/>
    <xf numFmtId="6" fontId="7" fillId="3" borderId="0" xfId="1" applyNumberFormat="1" applyFont="1" applyFill="1" applyBorder="1"/>
    <xf numFmtId="165" fontId="7" fillId="3" borderId="0" xfId="2" applyNumberFormat="1" applyFont="1" applyFill="1" applyBorder="1"/>
    <xf numFmtId="0" fontId="7" fillId="3" borderId="4" xfId="1" applyFont="1" applyFill="1" applyBorder="1"/>
    <xf numFmtId="0" fontId="8" fillId="3" borderId="5" xfId="1" applyFont="1" applyFill="1" applyBorder="1"/>
    <xf numFmtId="0" fontId="8" fillId="3" borderId="0" xfId="1" applyFont="1" applyFill="1" applyBorder="1"/>
    <xf numFmtId="0" fontId="8" fillId="3" borderId="2" xfId="1" applyFont="1" applyFill="1" applyBorder="1"/>
    <xf numFmtId="9" fontId="7" fillId="2" borderId="7" xfId="1" applyNumberFormat="1" applyFont="1" applyFill="1" applyBorder="1"/>
    <xf numFmtId="9" fontId="7" fillId="2" borderId="5" xfId="1" applyNumberFormat="1" applyFont="1" applyFill="1" applyBorder="1"/>
    <xf numFmtId="9" fontId="7" fillId="2" borderId="3" xfId="1" applyNumberFormat="1" applyFont="1" applyFill="1" applyBorder="1"/>
    <xf numFmtId="0" fontId="4" fillId="0" borderId="0" xfId="5"/>
    <xf numFmtId="0" fontId="4" fillId="0" borderId="0" xfId="5" applyBorder="1"/>
    <xf numFmtId="44" fontId="0" fillId="4" borderId="1" xfId="6" applyFont="1" applyFill="1" applyBorder="1"/>
    <xf numFmtId="0" fontId="3" fillId="0" borderId="0" xfId="5" applyFont="1" applyAlignment="1">
      <alignment horizontal="right"/>
    </xf>
    <xf numFmtId="0" fontId="4" fillId="0" borderId="0" xfId="5" applyBorder="1" applyAlignment="1">
      <alignment horizontal="center"/>
    </xf>
    <xf numFmtId="0" fontId="4" fillId="3" borderId="7" xfId="5" applyFill="1" applyBorder="1"/>
    <xf numFmtId="0" fontId="3" fillId="3" borderId="6" xfId="5" applyFont="1" applyFill="1" applyBorder="1" applyAlignment="1">
      <alignment horizontal="right"/>
    </xf>
    <xf numFmtId="0" fontId="4" fillId="0" borderId="0" xfId="5" applyFill="1"/>
    <xf numFmtId="0" fontId="3" fillId="0" borderId="0" xfId="5" applyFont="1" applyFill="1" applyAlignment="1">
      <alignment horizontal="center"/>
    </xf>
    <xf numFmtId="0" fontId="4" fillId="3" borderId="5" xfId="5" applyFill="1" applyBorder="1"/>
    <xf numFmtId="0" fontId="3" fillId="3" borderId="4" xfId="5" applyFont="1" applyFill="1" applyBorder="1" applyAlignment="1">
      <alignment horizontal="right"/>
    </xf>
    <xf numFmtId="0" fontId="4" fillId="3" borderId="3" xfId="5" applyFill="1" applyBorder="1"/>
    <xf numFmtId="0" fontId="3" fillId="3" borderId="2" xfId="5" applyFont="1" applyFill="1" applyBorder="1" applyAlignment="1">
      <alignment horizontal="right"/>
    </xf>
    <xf numFmtId="0" fontId="3" fillId="0" borderId="0" xfId="5" applyFont="1" applyFill="1"/>
    <xf numFmtId="44" fontId="0" fillId="5" borderId="7" xfId="6" applyFont="1" applyFill="1" applyBorder="1"/>
    <xf numFmtId="0" fontId="3" fillId="5" borderId="6" xfId="5" applyFont="1" applyFill="1" applyBorder="1" applyAlignment="1">
      <alignment horizontal="right"/>
    </xf>
    <xf numFmtId="44" fontId="0" fillId="5" borderId="5" xfId="6" applyFont="1" applyFill="1" applyBorder="1"/>
    <xf numFmtId="0" fontId="3" fillId="5" borderId="4" xfId="5" applyFont="1" applyFill="1" applyBorder="1" applyAlignment="1">
      <alignment horizontal="right"/>
    </xf>
    <xf numFmtId="44" fontId="0" fillId="5" borderId="3" xfId="6" applyFont="1" applyFill="1" applyBorder="1"/>
    <xf numFmtId="0" fontId="3" fillId="5" borderId="2" xfId="5" applyFont="1" applyFill="1" applyBorder="1" applyAlignment="1">
      <alignment horizontal="right"/>
    </xf>
    <xf numFmtId="0" fontId="3" fillId="0" borderId="0" xfId="5" applyFont="1"/>
    <xf numFmtId="0" fontId="7" fillId="0" borderId="0" xfId="8" applyFont="1"/>
    <xf numFmtId="0" fontId="7" fillId="0" borderId="0" xfId="8" applyFont="1" applyAlignment="1">
      <alignment vertical="top"/>
    </xf>
    <xf numFmtId="164" fontId="7" fillId="0" borderId="0" xfId="8" applyNumberFormat="1" applyFont="1" applyAlignment="1">
      <alignment vertical="top"/>
    </xf>
    <xf numFmtId="0" fontId="8" fillId="0" borderId="13" xfId="8" applyFont="1" applyBorder="1"/>
    <xf numFmtId="0" fontId="8" fillId="0" borderId="0" xfId="8" applyFont="1"/>
    <xf numFmtId="0" fontId="4" fillId="6" borderId="5" xfId="5" applyFill="1" applyBorder="1"/>
    <xf numFmtId="44" fontId="4" fillId="0" borderId="0" xfId="5" applyNumberFormat="1"/>
    <xf numFmtId="6" fontId="7" fillId="0" borderId="0" xfId="8" applyNumberFormat="1" applyFont="1"/>
    <xf numFmtId="2" fontId="7" fillId="0" borderId="0" xfId="8" applyNumberFormat="1" applyFont="1"/>
    <xf numFmtId="9" fontId="0" fillId="0" borderId="0" xfId="0" applyNumberFormat="1"/>
    <xf numFmtId="44" fontId="0" fillId="0" borderId="0" xfId="14" applyFont="1"/>
    <xf numFmtId="0" fontId="4" fillId="0" borderId="0" xfId="0" applyFont="1" applyAlignment="1">
      <alignment wrapText="1"/>
    </xf>
    <xf numFmtId="44" fontId="0" fillId="0" borderId="0" xfId="0" applyNumberFormat="1"/>
  </cellXfs>
  <cellStyles count="15">
    <cellStyle name="Comma 2" xfId="3" xr:uid="{00000000-0005-0000-0000-000000000000}"/>
    <cellStyle name="Comma 2 2" xfId="7" xr:uid="{5EBF3BE5-430B-4720-8065-9591844CFA42}"/>
    <cellStyle name="Comma 2 3" xfId="13" xr:uid="{6A4276A1-7C19-4241-853C-D836298C1B05}"/>
    <cellStyle name="Currency" xfId="14" builtinId="4"/>
    <cellStyle name="Currency 2" xfId="2" xr:uid="{00000000-0005-0000-0000-000001000000}"/>
    <cellStyle name="Currency 2 2" xfId="10" xr:uid="{875DBBC4-E0B3-4414-904D-87C0B2716B1A}"/>
    <cellStyle name="Currency 3" xfId="6" xr:uid="{02BBF898-41A6-4E28-A304-8E6917CB316C}"/>
    <cellStyle name="Currency 3 2" xfId="12" xr:uid="{159221B8-81F4-4F31-9D47-8436B7EFDB1B}"/>
    <cellStyle name="Normal" xfId="0" builtinId="0"/>
    <cellStyle name="Normal 2" xfId="1" xr:uid="{00000000-0005-0000-0000-000003000000}"/>
    <cellStyle name="Normal 2 2" xfId="8" xr:uid="{7CD15E21-DF2B-44F1-B103-956D7FAC93E7}"/>
    <cellStyle name="Normal 2 3" xfId="9" xr:uid="{1BD97419-9149-411B-9778-AF96C2C71026}"/>
    <cellStyle name="Normal 3" xfId="5" xr:uid="{1EAA70F4-B622-482D-972E-B6D58636E8DD}"/>
    <cellStyle name="Normal 3 2" xfId="11" xr:uid="{EF8FEA02-56E5-4175-9620-416009D7EB29}"/>
    <cellStyle name="Percent 2" xfId="4" xr:uid="{00000000-0005-0000-0000-000004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Price-Sales Data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56398962243502"/>
                  <c:y val="-0.57875443262708604"/>
                </c:manualLayout>
              </c:layout>
              <c:numFmt formatCode="General" sourceLinked="0"/>
            </c:trendlineLbl>
          </c:trendline>
          <c:xVal>
            <c:numRef>
              <c:f>'Price-Sales Data'!$A$4:$A$24</c:f>
              <c:numCache>
                <c:formatCode>"$"#,##0.00</c:formatCode>
                <c:ptCount val="21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</c:numCache>
            </c:numRef>
          </c:xVal>
          <c:yVal>
            <c:numRef>
              <c:f>'Price-Sales Data'!$B$4:$B$24</c:f>
              <c:numCache>
                <c:formatCode>General</c:formatCode>
                <c:ptCount val="21"/>
                <c:pt idx="0">
                  <c:v>19964.085046304601</c:v>
                </c:pt>
                <c:pt idx="1">
                  <c:v>19706.854883333624</c:v>
                </c:pt>
                <c:pt idx="2">
                  <c:v>20240.829810394785</c:v>
                </c:pt>
                <c:pt idx="3">
                  <c:v>19698.807039514682</c:v>
                </c:pt>
                <c:pt idx="4">
                  <c:v>20095.808056011363</c:v>
                </c:pt>
                <c:pt idx="5">
                  <c:v>19390.994086061728</c:v>
                </c:pt>
                <c:pt idx="6">
                  <c:v>19430.071144176232</c:v>
                </c:pt>
                <c:pt idx="7">
                  <c:v>19273.694764882694</c:v>
                </c:pt>
                <c:pt idx="8">
                  <c:v>18716.380778313178</c:v>
                </c:pt>
                <c:pt idx="9">
                  <c:v>18925.363869202043</c:v>
                </c:pt>
                <c:pt idx="10">
                  <c:v>19484.775702082858</c:v>
                </c:pt>
                <c:pt idx="11">
                  <c:v>18934.879113507799</c:v>
                </c:pt>
                <c:pt idx="12">
                  <c:v>18915.76533800791</c:v>
                </c:pt>
                <c:pt idx="13">
                  <c:v>18893.3728086792</c:v>
                </c:pt>
                <c:pt idx="14">
                  <c:v>18961.62238949152</c:v>
                </c:pt>
                <c:pt idx="15">
                  <c:v>18443.293567959841</c:v>
                </c:pt>
                <c:pt idx="16">
                  <c:v>18811.980589879629</c:v>
                </c:pt>
                <c:pt idx="17">
                  <c:v>18561.916613341185</c:v>
                </c:pt>
                <c:pt idx="18">
                  <c:v>18158.61938931152</c:v>
                </c:pt>
                <c:pt idx="19">
                  <c:v>18412.560029851578</c:v>
                </c:pt>
                <c:pt idx="20">
                  <c:v>17771.386773231818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78-42E3-AC17-CAEC2E3BF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406536"/>
        <c:axId val="272407712"/>
      </c:scatterChart>
      <c:valAx>
        <c:axId val="272406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overlay val="0"/>
        </c:title>
        <c:numFmt formatCode="&quot;$&quot;#,##0.00" sourceLinked="1"/>
        <c:majorTickMark val="out"/>
        <c:minorTickMark val="none"/>
        <c:tickLblPos val="nextTo"/>
        <c:crossAx val="272407712"/>
        <c:crosses val="autoZero"/>
        <c:crossBetween val="midCat"/>
      </c:valAx>
      <c:valAx>
        <c:axId val="272407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240653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128587</xdr:colOff>
      <xdr:row>3</xdr:row>
      <xdr:rowOff>4762</xdr:rowOff>
    </xdr:from>
    <xdr:to>
      <xdr:col>9</xdr:col>
      <xdr:colOff>97693</xdr:colOff>
      <xdr:row>21</xdr:row>
      <xdr:rowOff>56987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245989-D20E-4A32-B889-1A3AE6470F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workbookViewId="0">
      <selection activeCell="G11" sqref="G11"/>
    </sheetView>
  </sheetViews>
  <sheetFormatPr defaultColWidth="8.88671875" defaultRowHeight="13.2"/>
  <cols>
    <col min="1" max="1" width="18.109375" style="3" bestFit="1" customWidth="1"/>
    <col min="2" max="2" width="11.109375" style="3" bestFit="1" customWidth="1"/>
    <col min="3" max="3" width="12.6640625" style="3" bestFit="1" customWidth="1"/>
    <col min="4" max="4" width="16.109375" style="3" bestFit="1" customWidth="1"/>
    <col min="5" max="16384" width="8.88671875" style="3"/>
  </cols>
  <sheetData>
    <row r="1" spans="1:3">
      <c r="A1" s="2" t="s">
        <v>0</v>
      </c>
      <c r="C1" s="1"/>
    </row>
    <row r="3" spans="1:3">
      <c r="A3" s="2" t="s">
        <v>11</v>
      </c>
    </row>
    <row r="5" spans="1:3">
      <c r="A5" s="7" t="s">
        <v>1</v>
      </c>
      <c r="B5" s="4">
        <v>40</v>
      </c>
    </row>
    <row r="6" spans="1:3">
      <c r="A6" s="8" t="s">
        <v>2</v>
      </c>
      <c r="B6" s="5">
        <v>24</v>
      </c>
    </row>
    <row r="7" spans="1:3">
      <c r="A7" s="8" t="s">
        <v>3</v>
      </c>
      <c r="B7" s="5">
        <v>400000</v>
      </c>
    </row>
    <row r="8" spans="1:3">
      <c r="A8" s="9" t="s">
        <v>10</v>
      </c>
      <c r="B8" s="6">
        <v>50000</v>
      </c>
    </row>
    <row r="11" spans="1:3">
      <c r="A11" s="2" t="s">
        <v>4</v>
      </c>
    </row>
    <row r="13" spans="1:3">
      <c r="A13" s="15" t="s">
        <v>1</v>
      </c>
      <c r="B13" s="16">
        <f>B5</f>
        <v>40</v>
      </c>
      <c r="C13" s="17"/>
    </row>
    <row r="14" spans="1:3">
      <c r="A14" s="18" t="s">
        <v>5</v>
      </c>
      <c r="B14" s="14">
        <f>MIN(B8,B18)</f>
        <v>40000</v>
      </c>
      <c r="C14" s="19"/>
    </row>
    <row r="15" spans="1:3">
      <c r="A15" s="18" t="s">
        <v>6</v>
      </c>
      <c r="B15" s="14"/>
      <c r="C15" s="20">
        <f>B13*B14</f>
        <v>1600000</v>
      </c>
    </row>
    <row r="16" spans="1:3">
      <c r="A16" s="18"/>
      <c r="B16" s="14"/>
      <c r="C16" s="20"/>
    </row>
    <row r="17" spans="1:3">
      <c r="A17" s="18" t="s">
        <v>2</v>
      </c>
      <c r="B17" s="13">
        <f>B6</f>
        <v>24</v>
      </c>
      <c r="C17" s="19"/>
    </row>
    <row r="18" spans="1:3">
      <c r="A18" s="18" t="s">
        <v>7</v>
      </c>
      <c r="B18" s="14">
        <v>40000</v>
      </c>
      <c r="C18" s="19"/>
    </row>
    <row r="19" spans="1:3">
      <c r="A19" s="18" t="s">
        <v>8</v>
      </c>
      <c r="B19" s="14"/>
      <c r="C19" s="20">
        <f>B17*B18</f>
        <v>960000</v>
      </c>
    </row>
    <row r="20" spans="1:3">
      <c r="A20" s="21" t="s">
        <v>3</v>
      </c>
      <c r="B20" s="22"/>
      <c r="C20" s="23">
        <f>B7</f>
        <v>400000</v>
      </c>
    </row>
    <row r="22" spans="1:3">
      <c r="A22" s="11" t="s">
        <v>9</v>
      </c>
      <c r="B22" s="10"/>
      <c r="C22" s="12">
        <f>C15-C19-C20</f>
        <v>240000</v>
      </c>
    </row>
  </sheetData>
  <phoneticPr fontId="0" type="noConversion"/>
  <printOptions headings="1" gridLines="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0"/>
  <sheetViews>
    <sheetView workbookViewId="0">
      <selection activeCell="B32" sqref="A32:B32"/>
    </sheetView>
  </sheetViews>
  <sheetFormatPr defaultColWidth="9.109375" defaultRowHeight="13.2"/>
  <cols>
    <col min="1" max="1" width="27.33203125" style="24" bestFit="1" customWidth="1"/>
    <col min="2" max="2" width="15" style="24" bestFit="1" customWidth="1"/>
    <col min="3" max="3" width="13.88671875" style="24" bestFit="1" customWidth="1"/>
    <col min="4" max="16384" width="9.109375" style="24"/>
  </cols>
  <sheetData>
    <row r="1" spans="1:2">
      <c r="A1" s="25" t="s">
        <v>25</v>
      </c>
    </row>
    <row r="3" spans="1:2">
      <c r="A3" s="25" t="s">
        <v>24</v>
      </c>
    </row>
    <row r="5" spans="1:2">
      <c r="A5" s="30" t="s">
        <v>19</v>
      </c>
      <c r="B5" s="29">
        <v>5000000</v>
      </c>
    </row>
    <row r="6" spans="1:2">
      <c r="A6" s="28" t="s">
        <v>18</v>
      </c>
      <c r="B6" s="27">
        <v>3200000</v>
      </c>
    </row>
    <row r="7" spans="1:2">
      <c r="A7" s="28" t="s">
        <v>17</v>
      </c>
      <c r="B7" s="27">
        <v>250000</v>
      </c>
    </row>
    <row r="8" spans="1:2">
      <c r="A8" s="28" t="s">
        <v>16</v>
      </c>
      <c r="B8" s="27">
        <v>450000</v>
      </c>
    </row>
    <row r="9" spans="1:2">
      <c r="A9" s="28" t="s">
        <v>15</v>
      </c>
      <c r="B9" s="27">
        <v>325000</v>
      </c>
    </row>
    <row r="10" spans="1:2">
      <c r="A10" s="28" t="s">
        <v>14</v>
      </c>
      <c r="B10" s="27">
        <v>35000</v>
      </c>
    </row>
    <row r="11" spans="1:2">
      <c r="A11" s="26" t="s">
        <v>13</v>
      </c>
      <c r="B11" s="39">
        <v>296000</v>
      </c>
    </row>
    <row r="12" spans="1:2">
      <c r="A12" s="25"/>
    </row>
    <row r="13" spans="1:2">
      <c r="A13" s="32" t="s">
        <v>4</v>
      </c>
    </row>
    <row r="14" spans="1:2">
      <c r="A14" s="25"/>
    </row>
    <row r="15" spans="1:2">
      <c r="A15" s="38" t="s">
        <v>23</v>
      </c>
      <c r="B15" s="37">
        <f>B5-B6</f>
        <v>1800000</v>
      </c>
    </row>
    <row r="16" spans="1:2">
      <c r="A16" s="36" t="s">
        <v>22</v>
      </c>
      <c r="B16" s="35">
        <f>SUM(B7:B9)</f>
        <v>1025000</v>
      </c>
    </row>
    <row r="17" spans="1:2">
      <c r="A17" s="36" t="s">
        <v>21</v>
      </c>
      <c r="B17" s="35">
        <f>B15-B16</f>
        <v>775000</v>
      </c>
    </row>
    <row r="18" spans="1:2">
      <c r="A18" s="34" t="s">
        <v>20</v>
      </c>
      <c r="B18" s="33">
        <f>B17-B10</f>
        <v>740000</v>
      </c>
    </row>
    <row r="19" spans="1:2">
      <c r="A19" s="32"/>
    </row>
    <row r="20" spans="1:2">
      <c r="A20" s="32" t="s">
        <v>12</v>
      </c>
      <c r="B20" s="31">
        <f>B18-B11</f>
        <v>444000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"/>
  <sheetViews>
    <sheetView workbookViewId="0">
      <selection activeCell="B8" sqref="B8"/>
    </sheetView>
  </sheetViews>
  <sheetFormatPr defaultColWidth="8.6640625" defaultRowHeight="14.4"/>
  <cols>
    <col min="1" max="1" width="17.44140625" style="42" bestFit="1" customWidth="1"/>
    <col min="2" max="2" width="22.109375" style="42" bestFit="1" customWidth="1"/>
    <col min="3" max="8" width="9.88671875" style="42" customWidth="1"/>
    <col min="9" max="16384" width="8.6640625" style="42"/>
  </cols>
  <sheetData>
    <row r="1" spans="1:8">
      <c r="A1" s="44" t="s">
        <v>30</v>
      </c>
    </row>
    <row r="3" spans="1:8">
      <c r="B3" s="44" t="s">
        <v>29</v>
      </c>
      <c r="C3" s="44">
        <v>2015</v>
      </c>
      <c r="D3" s="44">
        <v>2016</v>
      </c>
      <c r="E3" s="44">
        <v>2017</v>
      </c>
      <c r="F3" s="44">
        <v>2018</v>
      </c>
      <c r="G3" s="44">
        <v>2019</v>
      </c>
      <c r="H3" s="44">
        <v>2020</v>
      </c>
    </row>
    <row r="4" spans="1:8">
      <c r="B4" s="44" t="s">
        <v>28</v>
      </c>
      <c r="C4" s="46">
        <v>40000</v>
      </c>
      <c r="D4" s="46">
        <v>64000</v>
      </c>
      <c r="E4" s="46">
        <v>80000</v>
      </c>
      <c r="F4" s="46">
        <v>132000</v>
      </c>
      <c r="G4" s="46">
        <v>160000</v>
      </c>
      <c r="H4" s="46">
        <v>200000</v>
      </c>
    </row>
    <row r="5" spans="1:8">
      <c r="A5" s="44" t="s">
        <v>57</v>
      </c>
      <c r="B5" s="46">
        <v>400000</v>
      </c>
    </row>
    <row r="6" spans="1:8">
      <c r="A6" s="44" t="s">
        <v>27</v>
      </c>
      <c r="B6" s="45">
        <v>0.05</v>
      </c>
    </row>
    <row r="8" spans="1:8">
      <c r="A8" s="44" t="s">
        <v>26</v>
      </c>
      <c r="B8" s="43">
        <f>NPV(B6,C4:H4)-B5</f>
        <v>148456.12523387873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0"/>
  <sheetViews>
    <sheetView workbookViewId="0">
      <selection activeCell="B31" sqref="B31"/>
    </sheetView>
  </sheetViews>
  <sheetFormatPr defaultColWidth="8.88671875" defaultRowHeight="13.2"/>
  <cols>
    <col min="1" max="1" width="25" style="24" bestFit="1" customWidth="1"/>
    <col min="2" max="2" width="15.109375" style="24" bestFit="1" customWidth="1"/>
    <col min="3" max="3" width="14.21875" style="24" bestFit="1" customWidth="1"/>
    <col min="4" max="4" width="14" style="24" bestFit="1" customWidth="1"/>
    <col min="5" max="6" width="13.44140625" style="24" bestFit="1" customWidth="1"/>
    <col min="7" max="16384" width="8.88671875" style="24"/>
  </cols>
  <sheetData>
    <row r="1" spans="1:2">
      <c r="A1" s="25" t="s">
        <v>45</v>
      </c>
    </row>
    <row r="3" spans="1:2">
      <c r="A3" s="25" t="s">
        <v>11</v>
      </c>
    </row>
    <row r="5" spans="1:2">
      <c r="A5" s="77" t="s">
        <v>36</v>
      </c>
      <c r="B5" s="76">
        <v>2000000</v>
      </c>
    </row>
    <row r="6" spans="1:2">
      <c r="A6" s="70" t="s">
        <v>44</v>
      </c>
      <c r="B6" s="75">
        <v>130</v>
      </c>
    </row>
    <row r="7" spans="1:2">
      <c r="A7" s="70" t="s">
        <v>43</v>
      </c>
      <c r="B7" s="75">
        <v>40</v>
      </c>
    </row>
    <row r="8" spans="1:2">
      <c r="A8" s="70" t="s">
        <v>42</v>
      </c>
      <c r="B8" s="73">
        <v>0.09</v>
      </c>
    </row>
    <row r="9" spans="1:2">
      <c r="A9" s="74"/>
      <c r="B9" s="73"/>
    </row>
    <row r="10" spans="1:2">
      <c r="A10" s="72" t="s">
        <v>41</v>
      </c>
      <c r="B10" s="71"/>
    </row>
    <row r="11" spans="1:2">
      <c r="A11" s="70" t="s">
        <v>40</v>
      </c>
      <c r="B11" s="69">
        <v>700000000</v>
      </c>
    </row>
    <row r="12" spans="1:2" ht="13.8" thickBot="1">
      <c r="A12" s="68" t="s">
        <v>39</v>
      </c>
      <c r="B12" s="67">
        <v>150000000</v>
      </c>
    </row>
    <row r="13" spans="1:2" ht="13.8" thickTop="1">
      <c r="A13" s="66" t="s">
        <v>38</v>
      </c>
      <c r="B13" s="65">
        <f>SUM(B11:B12)</f>
        <v>850000000</v>
      </c>
    </row>
    <row r="14" spans="1:2">
      <c r="B14" s="64"/>
    </row>
    <row r="15" spans="1:2">
      <c r="A15" s="25" t="s">
        <v>4</v>
      </c>
    </row>
    <row r="17" spans="1:6">
      <c r="A17" s="63" t="s">
        <v>29</v>
      </c>
      <c r="B17" s="62">
        <v>1</v>
      </c>
      <c r="C17" s="62">
        <v>2</v>
      </c>
      <c r="D17" s="62">
        <v>3</v>
      </c>
      <c r="E17" s="62">
        <v>4</v>
      </c>
      <c r="F17" s="61">
        <v>5</v>
      </c>
    </row>
    <row r="18" spans="1:6">
      <c r="A18" s="54" t="s">
        <v>37</v>
      </c>
      <c r="B18" s="59"/>
      <c r="C18" s="58">
        <v>0.03</v>
      </c>
      <c r="D18" s="58">
        <v>0.03</v>
      </c>
      <c r="E18" s="58">
        <v>0.03</v>
      </c>
      <c r="F18" s="58">
        <v>0.03</v>
      </c>
    </row>
    <row r="19" spans="1:6">
      <c r="A19" s="54" t="s">
        <v>36</v>
      </c>
      <c r="B19" s="60">
        <f>B5</f>
        <v>2000000</v>
      </c>
      <c r="C19" s="56">
        <f>B19*(1+C18)</f>
        <v>2060000</v>
      </c>
      <c r="D19" s="56">
        <f t="shared" ref="D19:F19" si="0">C19*(1+D18)</f>
        <v>2121800</v>
      </c>
      <c r="E19" s="56">
        <f t="shared" si="0"/>
        <v>2185454</v>
      </c>
      <c r="F19" s="56">
        <f t="shared" si="0"/>
        <v>2251017.62</v>
      </c>
    </row>
    <row r="20" spans="1:6">
      <c r="A20" s="54" t="s">
        <v>35</v>
      </c>
      <c r="B20" s="59"/>
      <c r="C20" s="58">
        <v>0.2</v>
      </c>
      <c r="D20" s="58">
        <v>0.2</v>
      </c>
      <c r="E20" s="58">
        <v>0.2</v>
      </c>
      <c r="F20" s="58">
        <v>0.2</v>
      </c>
    </row>
    <row r="21" spans="1:6">
      <c r="A21" s="54" t="s">
        <v>34</v>
      </c>
      <c r="B21" s="58">
        <v>0.08</v>
      </c>
      <c r="C21" s="57">
        <f>B21*(1+C20)</f>
        <v>9.6000000000000002E-2</v>
      </c>
      <c r="D21" s="57">
        <f t="shared" ref="D21:F21" si="1">C21*(1+D20)</f>
        <v>0.1152</v>
      </c>
      <c r="E21" s="57">
        <f t="shared" si="1"/>
        <v>0.13824</v>
      </c>
      <c r="F21" s="57">
        <f t="shared" si="1"/>
        <v>0.16588800000000001</v>
      </c>
    </row>
    <row r="22" spans="1:6">
      <c r="A22" s="54" t="s">
        <v>19</v>
      </c>
      <c r="B22" s="56">
        <f>B19*B21</f>
        <v>160000</v>
      </c>
      <c r="C22" s="56">
        <f t="shared" ref="C22:F22" si="2">C19*C21</f>
        <v>197760</v>
      </c>
      <c r="D22" s="56">
        <f t="shared" si="2"/>
        <v>244431.35999999999</v>
      </c>
      <c r="E22" s="56">
        <f t="shared" si="2"/>
        <v>302117.16096000001</v>
      </c>
      <c r="F22" s="56">
        <f t="shared" si="2"/>
        <v>373416.81094656006</v>
      </c>
    </row>
    <row r="23" spans="1:6">
      <c r="A23" s="54"/>
      <c r="B23" s="56"/>
      <c r="C23" s="56"/>
      <c r="D23" s="56"/>
      <c r="E23" s="56"/>
      <c r="F23" s="55"/>
    </row>
    <row r="24" spans="1:6">
      <c r="A24" s="54" t="s">
        <v>33</v>
      </c>
      <c r="B24" s="53">
        <f>($B$6*B22)*12</f>
        <v>249600000</v>
      </c>
      <c r="C24" s="53">
        <f t="shared" ref="C24:F24" si="3">($B$6*C22)*12</f>
        <v>308505600</v>
      </c>
      <c r="D24" s="53">
        <f t="shared" si="3"/>
        <v>381312921.59999996</v>
      </c>
      <c r="E24" s="53">
        <f t="shared" si="3"/>
        <v>471302771.09759998</v>
      </c>
      <c r="F24" s="53">
        <f t="shared" si="3"/>
        <v>582530225.07663369</v>
      </c>
    </row>
    <row r="25" spans="1:6" ht="13.8" thickBot="1">
      <c r="A25" s="52" t="s">
        <v>32</v>
      </c>
      <c r="B25" s="51">
        <f>($B$7*B22)*12</f>
        <v>76800000</v>
      </c>
      <c r="C25" s="51">
        <f t="shared" ref="C25:F25" si="4">($B$7*C22)*12</f>
        <v>94924800</v>
      </c>
      <c r="D25" s="51">
        <f t="shared" si="4"/>
        <v>117327052.79999998</v>
      </c>
      <c r="E25" s="51">
        <f t="shared" si="4"/>
        <v>145016237.2608</v>
      </c>
      <c r="F25" s="51">
        <f t="shared" si="4"/>
        <v>179240069.25434881</v>
      </c>
    </row>
    <row r="26" spans="1:6" ht="13.8" thickTop="1">
      <c r="A26" s="50" t="s">
        <v>9</v>
      </c>
      <c r="B26" s="49">
        <f>B24-B25</f>
        <v>172800000</v>
      </c>
      <c r="C26" s="49">
        <f t="shared" ref="C26:F26" si="5">C24-C25</f>
        <v>213580800</v>
      </c>
      <c r="D26" s="49">
        <f t="shared" si="5"/>
        <v>263985868.79999998</v>
      </c>
      <c r="E26" s="49">
        <f t="shared" si="5"/>
        <v>326286533.83679998</v>
      </c>
      <c r="F26" s="49">
        <f t="shared" si="5"/>
        <v>403290155.82228488</v>
      </c>
    </row>
    <row r="27" spans="1:6">
      <c r="A27" s="41"/>
      <c r="B27" s="40"/>
      <c r="C27" s="40"/>
      <c r="D27" s="40"/>
      <c r="E27" s="40"/>
      <c r="F27" s="40"/>
    </row>
    <row r="28" spans="1:6">
      <c r="A28" s="41" t="s">
        <v>31</v>
      </c>
      <c r="B28" s="48">
        <f>B26-B13</f>
        <v>-677200000</v>
      </c>
      <c r="C28" s="47">
        <f>C26+B28</f>
        <v>-463619200</v>
      </c>
      <c r="D28" s="47">
        <f>D26+C28</f>
        <v>-199633331.20000002</v>
      </c>
      <c r="E28" s="47">
        <f>E26+D28</f>
        <v>126653202.63679996</v>
      </c>
      <c r="F28" s="47">
        <f>F26+E28</f>
        <v>529943358.45908487</v>
      </c>
    </row>
    <row r="29" spans="1:6">
      <c r="A29" s="41"/>
    </row>
    <row r="30" spans="1:6">
      <c r="A30" s="41" t="s">
        <v>30</v>
      </c>
      <c r="B30" s="31">
        <f>NPV(B8,B26:F26)-B13</f>
        <v>185404859.90965664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42"/>
  <sheetViews>
    <sheetView topLeftCell="A4" workbookViewId="0">
      <selection activeCell="H35" sqref="H35"/>
    </sheetView>
  </sheetViews>
  <sheetFormatPr defaultColWidth="8.88671875" defaultRowHeight="13.2"/>
  <cols>
    <col min="1" max="1" width="36.109375" style="24" bestFit="1" customWidth="1"/>
    <col min="2" max="2" width="10.109375" style="24" bestFit="1" customWidth="1"/>
    <col min="3" max="4" width="12.6640625" style="24" bestFit="1" customWidth="1"/>
    <col min="5" max="5" width="9.44140625" style="24" bestFit="1" customWidth="1"/>
    <col min="6" max="16384" width="8.88671875" style="24"/>
  </cols>
  <sheetData>
    <row r="1" spans="1:5">
      <c r="A1" s="25" t="s">
        <v>56</v>
      </c>
    </row>
    <row r="3" spans="1:5">
      <c r="A3" s="25" t="s">
        <v>11</v>
      </c>
    </row>
    <row r="4" spans="1:5" s="42" customFormat="1" ht="14.4"/>
    <row r="5" spans="1:5">
      <c r="A5" s="77" t="s">
        <v>55</v>
      </c>
      <c r="B5" s="88">
        <v>0.08</v>
      </c>
    </row>
    <row r="6" spans="1:5">
      <c r="A6" s="70" t="s">
        <v>54</v>
      </c>
      <c r="B6" s="87">
        <v>0.35</v>
      </c>
    </row>
    <row r="7" spans="1:5">
      <c r="A7" s="70" t="s">
        <v>53</v>
      </c>
      <c r="B7" s="87">
        <v>0.03</v>
      </c>
    </row>
    <row r="8" spans="1:5">
      <c r="A8" s="66" t="s">
        <v>52</v>
      </c>
      <c r="B8" s="86">
        <v>0.08</v>
      </c>
    </row>
    <row r="10" spans="1:5">
      <c r="A10" s="25" t="s">
        <v>4</v>
      </c>
    </row>
    <row r="11" spans="1:5">
      <c r="A11" s="25"/>
    </row>
    <row r="12" spans="1:5">
      <c r="A12" s="85"/>
      <c r="B12" s="62"/>
      <c r="C12" s="62" t="s">
        <v>51</v>
      </c>
      <c r="D12" s="62" t="s">
        <v>50</v>
      </c>
      <c r="E12" s="61"/>
    </row>
    <row r="13" spans="1:5">
      <c r="A13" s="54" t="s">
        <v>49</v>
      </c>
      <c r="B13" s="84" t="s">
        <v>48</v>
      </c>
      <c r="C13" s="84" t="s">
        <v>47</v>
      </c>
      <c r="D13" s="84" t="s">
        <v>47</v>
      </c>
      <c r="E13" s="83" t="s">
        <v>46</v>
      </c>
    </row>
    <row r="14" spans="1:5">
      <c r="A14" s="82">
        <v>22</v>
      </c>
      <c r="B14" s="80">
        <v>50000</v>
      </c>
      <c r="C14" s="80">
        <f>$B$5*B14</f>
        <v>4000</v>
      </c>
      <c r="D14" s="80">
        <f>C14*$B$6</f>
        <v>1400</v>
      </c>
      <c r="E14" s="79">
        <f>SUM(C14:D14)</f>
        <v>5400</v>
      </c>
    </row>
    <row r="15" spans="1:5">
      <c r="A15" s="82">
        <v>23</v>
      </c>
      <c r="B15" s="81">
        <f>B14*(1+$B$7)</f>
        <v>51500</v>
      </c>
      <c r="C15" s="80">
        <f>$B$5*B15</f>
        <v>4120</v>
      </c>
      <c r="D15" s="80">
        <f>C15*$B$6</f>
        <v>1442</v>
      </c>
      <c r="E15" s="79">
        <f>E14*(1+$B$8)+C15+D15</f>
        <v>11394</v>
      </c>
    </row>
    <row r="16" spans="1:5">
      <c r="A16" s="82">
        <v>24</v>
      </c>
      <c r="B16" s="81">
        <f t="shared" ref="B16:B42" si="0">B15*(1+$B$7)</f>
        <v>53045</v>
      </c>
      <c r="C16" s="80">
        <f t="shared" ref="C16:C42" si="1">$B$5*B16</f>
        <v>4243.6000000000004</v>
      </c>
      <c r="D16" s="80">
        <f t="shared" ref="D16:D42" si="2">C16*$B$6</f>
        <v>1485.26</v>
      </c>
      <c r="E16" s="79">
        <f t="shared" ref="E16:E41" si="3">E15*(1+$B$8)+C16+D16</f>
        <v>18034.38</v>
      </c>
    </row>
    <row r="17" spans="1:5">
      <c r="A17" s="82">
        <v>25</v>
      </c>
      <c r="B17" s="81">
        <f t="shared" si="0"/>
        <v>54636.35</v>
      </c>
      <c r="C17" s="80">
        <f t="shared" si="1"/>
        <v>4370.9080000000004</v>
      </c>
      <c r="D17" s="80">
        <f t="shared" si="2"/>
        <v>1529.8178</v>
      </c>
      <c r="E17" s="79">
        <f t="shared" si="3"/>
        <v>25377.856200000002</v>
      </c>
    </row>
    <row r="18" spans="1:5">
      <c r="A18" s="82">
        <v>26</v>
      </c>
      <c r="B18" s="81">
        <f t="shared" si="0"/>
        <v>56275.440499999997</v>
      </c>
      <c r="C18" s="80">
        <f t="shared" si="1"/>
        <v>4502.0352400000002</v>
      </c>
      <c r="D18" s="80">
        <f t="shared" si="2"/>
        <v>1575.7123340000001</v>
      </c>
      <c r="E18" s="79">
        <f t="shared" si="3"/>
        <v>33485.832270000006</v>
      </c>
    </row>
    <row r="19" spans="1:5">
      <c r="A19" s="82">
        <v>27</v>
      </c>
      <c r="B19" s="81">
        <f t="shared" si="0"/>
        <v>57963.703714999996</v>
      </c>
      <c r="C19" s="80">
        <f t="shared" si="1"/>
        <v>4637.0962971999998</v>
      </c>
      <c r="D19" s="80">
        <f t="shared" si="2"/>
        <v>1622.9837040199998</v>
      </c>
      <c r="E19" s="79">
        <f t="shared" si="3"/>
        <v>42424.778852820004</v>
      </c>
    </row>
    <row r="20" spans="1:5">
      <c r="A20" s="82">
        <v>28</v>
      </c>
      <c r="B20" s="81">
        <f t="shared" si="0"/>
        <v>59702.614826450001</v>
      </c>
      <c r="C20" s="80">
        <f t="shared" si="1"/>
        <v>4776.2091861159997</v>
      </c>
      <c r="D20" s="80">
        <f t="shared" si="2"/>
        <v>1671.6732151405997</v>
      </c>
      <c r="E20" s="79">
        <f t="shared" si="3"/>
        <v>52266.643562302212</v>
      </c>
    </row>
    <row r="21" spans="1:5">
      <c r="A21" s="82">
        <v>29</v>
      </c>
      <c r="B21" s="81">
        <f t="shared" si="0"/>
        <v>61493.693271243501</v>
      </c>
      <c r="C21" s="80">
        <f t="shared" si="1"/>
        <v>4919.4954616994801</v>
      </c>
      <c r="D21" s="80">
        <f t="shared" si="2"/>
        <v>1721.823411594818</v>
      </c>
      <c r="E21" s="79">
        <f t="shared" si="3"/>
        <v>63089.293920580691</v>
      </c>
    </row>
    <row r="22" spans="1:5">
      <c r="A22" s="82">
        <v>30</v>
      </c>
      <c r="B22" s="81">
        <f t="shared" si="0"/>
        <v>63338.504069380804</v>
      </c>
      <c r="C22" s="80">
        <f t="shared" si="1"/>
        <v>5067.0803255504643</v>
      </c>
      <c r="D22" s="80">
        <f t="shared" si="2"/>
        <v>1773.4781139426625</v>
      </c>
      <c r="E22" s="79">
        <f t="shared" si="3"/>
        <v>74976.995873720269</v>
      </c>
    </row>
    <row r="23" spans="1:5">
      <c r="A23" s="82">
        <v>31</v>
      </c>
      <c r="B23" s="81">
        <f t="shared" si="0"/>
        <v>65238.659191462233</v>
      </c>
      <c r="C23" s="80">
        <f t="shared" si="1"/>
        <v>5219.0927353169791</v>
      </c>
      <c r="D23" s="80">
        <f t="shared" si="2"/>
        <v>1826.6824573609426</v>
      </c>
      <c r="E23" s="79">
        <f t="shared" si="3"/>
        <v>88020.930736295821</v>
      </c>
    </row>
    <row r="24" spans="1:5">
      <c r="A24" s="82">
        <v>32</v>
      </c>
      <c r="B24" s="81">
        <f t="shared" si="0"/>
        <v>67195.818967206098</v>
      </c>
      <c r="C24" s="80">
        <f t="shared" si="1"/>
        <v>5375.6655173764875</v>
      </c>
      <c r="D24" s="80">
        <f t="shared" si="2"/>
        <v>1881.4829310817704</v>
      </c>
      <c r="E24" s="79">
        <f t="shared" si="3"/>
        <v>102319.75364365775</v>
      </c>
    </row>
    <row r="25" spans="1:5">
      <c r="A25" s="82">
        <v>33</v>
      </c>
      <c r="B25" s="81">
        <f t="shared" si="0"/>
        <v>69211.693536222287</v>
      </c>
      <c r="C25" s="80">
        <f t="shared" si="1"/>
        <v>5536.935482897783</v>
      </c>
      <c r="D25" s="80">
        <f t="shared" si="2"/>
        <v>1937.9274190142239</v>
      </c>
      <c r="E25" s="79">
        <f t="shared" si="3"/>
        <v>117980.19683706238</v>
      </c>
    </row>
    <row r="26" spans="1:5">
      <c r="A26" s="82">
        <v>34</v>
      </c>
      <c r="B26" s="81">
        <f t="shared" si="0"/>
        <v>71288.04434230896</v>
      </c>
      <c r="C26" s="80">
        <f t="shared" si="1"/>
        <v>5703.0435473847165</v>
      </c>
      <c r="D26" s="80">
        <f t="shared" si="2"/>
        <v>1996.0652415846507</v>
      </c>
      <c r="E26" s="79">
        <f t="shared" si="3"/>
        <v>135117.72137299672</v>
      </c>
    </row>
    <row r="27" spans="1:5">
      <c r="A27" s="82">
        <v>35</v>
      </c>
      <c r="B27" s="81">
        <f t="shared" si="0"/>
        <v>73426.685672578227</v>
      </c>
      <c r="C27" s="80">
        <f t="shared" si="1"/>
        <v>5874.1348538062584</v>
      </c>
      <c r="D27" s="80">
        <f t="shared" si="2"/>
        <v>2055.9471988321902</v>
      </c>
      <c r="E27" s="79">
        <f t="shared" si="3"/>
        <v>153857.22113547492</v>
      </c>
    </row>
    <row r="28" spans="1:5">
      <c r="A28" s="82">
        <v>36</v>
      </c>
      <c r="B28" s="81">
        <f t="shared" si="0"/>
        <v>75629.486242755578</v>
      </c>
      <c r="C28" s="80">
        <f t="shared" si="1"/>
        <v>6050.3588994204465</v>
      </c>
      <c r="D28" s="80">
        <f t="shared" si="2"/>
        <v>2117.6256147971562</v>
      </c>
      <c r="E28" s="79">
        <f t="shared" si="3"/>
        <v>174333.7833405305</v>
      </c>
    </row>
    <row r="29" spans="1:5">
      <c r="A29" s="82">
        <v>37</v>
      </c>
      <c r="B29" s="81">
        <f t="shared" si="0"/>
        <v>77898.370830038242</v>
      </c>
      <c r="C29" s="80">
        <f t="shared" si="1"/>
        <v>6231.8696664030595</v>
      </c>
      <c r="D29" s="80">
        <f t="shared" si="2"/>
        <v>2181.1543832410707</v>
      </c>
      <c r="E29" s="79">
        <f t="shared" si="3"/>
        <v>196693.51005741709</v>
      </c>
    </row>
    <row r="30" spans="1:5">
      <c r="A30" s="82">
        <v>38</v>
      </c>
      <c r="B30" s="81">
        <f t="shared" si="0"/>
        <v>80235.321954939398</v>
      </c>
      <c r="C30" s="80">
        <f t="shared" si="1"/>
        <v>6418.825756395152</v>
      </c>
      <c r="D30" s="80">
        <f t="shared" si="2"/>
        <v>2246.5890147383029</v>
      </c>
      <c r="E30" s="79">
        <f t="shared" si="3"/>
        <v>221094.40563314394</v>
      </c>
    </row>
    <row r="31" spans="1:5">
      <c r="A31" s="82">
        <v>39</v>
      </c>
      <c r="B31" s="81">
        <f t="shared" si="0"/>
        <v>82642.381613587582</v>
      </c>
      <c r="C31" s="80">
        <f t="shared" si="1"/>
        <v>6611.3905290870071</v>
      </c>
      <c r="D31" s="80">
        <f t="shared" si="2"/>
        <v>2313.9866851804522</v>
      </c>
      <c r="E31" s="79">
        <f t="shared" si="3"/>
        <v>247707.33529806294</v>
      </c>
    </row>
    <row r="32" spans="1:5">
      <c r="A32" s="82">
        <v>40</v>
      </c>
      <c r="B32" s="81">
        <f t="shared" si="0"/>
        <v>85121.65306199521</v>
      </c>
      <c r="C32" s="80">
        <f t="shared" si="1"/>
        <v>6809.7322449596168</v>
      </c>
      <c r="D32" s="80">
        <f t="shared" si="2"/>
        <v>2383.4062857358658</v>
      </c>
      <c r="E32" s="79">
        <f t="shared" si="3"/>
        <v>276717.06065260351</v>
      </c>
    </row>
    <row r="33" spans="1:5">
      <c r="A33" s="82">
        <v>41</v>
      </c>
      <c r="B33" s="81">
        <f t="shared" si="0"/>
        <v>87675.302653855062</v>
      </c>
      <c r="C33" s="80">
        <f t="shared" si="1"/>
        <v>7014.0242123084054</v>
      </c>
      <c r="D33" s="80">
        <f t="shared" si="2"/>
        <v>2454.9084743079416</v>
      </c>
      <c r="E33" s="79">
        <f t="shared" si="3"/>
        <v>308323.35819142812</v>
      </c>
    </row>
    <row r="34" spans="1:5">
      <c r="A34" s="82">
        <v>42</v>
      </c>
      <c r="B34" s="81">
        <f t="shared" si="0"/>
        <v>90305.56173347072</v>
      </c>
      <c r="C34" s="80">
        <f t="shared" si="1"/>
        <v>7224.4449386776578</v>
      </c>
      <c r="D34" s="80">
        <f t="shared" si="2"/>
        <v>2528.5557285371801</v>
      </c>
      <c r="E34" s="79">
        <f t="shared" si="3"/>
        <v>342742.22751395724</v>
      </c>
    </row>
    <row r="35" spans="1:5">
      <c r="A35" s="82">
        <v>43</v>
      </c>
      <c r="B35" s="81">
        <f t="shared" si="0"/>
        <v>93014.728585474848</v>
      </c>
      <c r="C35" s="80">
        <f t="shared" si="1"/>
        <v>7441.1782868379878</v>
      </c>
      <c r="D35" s="80">
        <f t="shared" si="2"/>
        <v>2604.4124003932957</v>
      </c>
      <c r="E35" s="79">
        <f t="shared" si="3"/>
        <v>380207.1964023051</v>
      </c>
    </row>
    <row r="36" spans="1:5">
      <c r="A36" s="82">
        <v>44</v>
      </c>
      <c r="B36" s="81">
        <f t="shared" si="0"/>
        <v>95805.170443039096</v>
      </c>
      <c r="C36" s="80">
        <f t="shared" si="1"/>
        <v>7664.4136354431275</v>
      </c>
      <c r="D36" s="80">
        <f t="shared" si="2"/>
        <v>2682.5447724050946</v>
      </c>
      <c r="E36" s="79">
        <f t="shared" si="3"/>
        <v>420970.73052233778</v>
      </c>
    </row>
    <row r="37" spans="1:5">
      <c r="A37" s="82">
        <v>45</v>
      </c>
      <c r="B37" s="81">
        <f t="shared" si="0"/>
        <v>98679.325556330266</v>
      </c>
      <c r="C37" s="80">
        <f t="shared" si="1"/>
        <v>7894.3460445064211</v>
      </c>
      <c r="D37" s="80">
        <f t="shared" si="2"/>
        <v>2763.0211155772472</v>
      </c>
      <c r="E37" s="79">
        <f t="shared" si="3"/>
        <v>465305.75612420851</v>
      </c>
    </row>
    <row r="38" spans="1:5">
      <c r="A38" s="82">
        <v>46</v>
      </c>
      <c r="B38" s="81">
        <f t="shared" si="0"/>
        <v>101639.70532302017</v>
      </c>
      <c r="C38" s="80">
        <f t="shared" si="1"/>
        <v>8131.1764258416142</v>
      </c>
      <c r="D38" s="80">
        <f t="shared" si="2"/>
        <v>2845.9117490445647</v>
      </c>
      <c r="E38" s="79">
        <f t="shared" si="3"/>
        <v>513507.30478903139</v>
      </c>
    </row>
    <row r="39" spans="1:5">
      <c r="A39" s="82">
        <v>47</v>
      </c>
      <c r="B39" s="81">
        <f t="shared" si="0"/>
        <v>104688.89648271078</v>
      </c>
      <c r="C39" s="80">
        <f t="shared" si="1"/>
        <v>8375.1117186168631</v>
      </c>
      <c r="D39" s="80">
        <f t="shared" si="2"/>
        <v>2931.2891015159021</v>
      </c>
      <c r="E39" s="79">
        <f t="shared" si="3"/>
        <v>565894.28999228671</v>
      </c>
    </row>
    <row r="40" spans="1:5">
      <c r="A40" s="82">
        <v>48</v>
      </c>
      <c r="B40" s="81">
        <f t="shared" si="0"/>
        <v>107829.56337719211</v>
      </c>
      <c r="C40" s="80">
        <f t="shared" si="1"/>
        <v>8626.3650701753686</v>
      </c>
      <c r="D40" s="80">
        <f t="shared" si="2"/>
        <v>3019.2277745613787</v>
      </c>
      <c r="E40" s="79">
        <f t="shared" si="3"/>
        <v>622811.42603640642</v>
      </c>
    </row>
    <row r="41" spans="1:5">
      <c r="A41" s="82">
        <v>49</v>
      </c>
      <c r="B41" s="81">
        <f t="shared" si="0"/>
        <v>111064.45027850788</v>
      </c>
      <c r="C41" s="80">
        <f t="shared" si="1"/>
        <v>8885.1560222806311</v>
      </c>
      <c r="D41" s="80">
        <f t="shared" si="2"/>
        <v>3109.8046077982208</v>
      </c>
      <c r="E41" s="79">
        <f t="shared" si="3"/>
        <v>684631.30074939795</v>
      </c>
    </row>
    <row r="42" spans="1:5">
      <c r="A42" s="78">
        <v>50</v>
      </c>
      <c r="B42" s="81">
        <f t="shared" si="0"/>
        <v>114396.38378686312</v>
      </c>
      <c r="C42" s="80">
        <f t="shared" si="1"/>
        <v>9151.7107029490508</v>
      </c>
      <c r="D42" s="80">
        <f t="shared" si="2"/>
        <v>3203.0987460321676</v>
      </c>
      <c r="E42" s="79">
        <f>E41*(1+$B$8)+C42+D42</f>
        <v>751756.61425833113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17BC4-9F07-4FA0-88D7-04031AA78890}">
  <dimension ref="A1:C30"/>
  <sheetViews>
    <sheetView workbookViewId="0">
      <selection activeCell="C19" sqref="C19"/>
    </sheetView>
  </sheetViews>
  <sheetFormatPr defaultColWidth="16" defaultRowHeight="13.2"/>
  <cols>
    <col min="1" max="1" width="18.44140625" style="89" bestFit="1" customWidth="1"/>
    <col min="2" max="2" width="9" style="89" customWidth="1"/>
    <col min="3" max="3" width="14.109375" style="89" customWidth="1"/>
    <col min="4" max="16384" width="16" style="89"/>
  </cols>
  <sheetData>
    <row r="1" spans="1:3" s="96" customFormat="1">
      <c r="A1" s="109" t="s">
        <v>63</v>
      </c>
      <c r="B1" s="89"/>
    </row>
    <row r="2" spans="1:3" s="96" customFormat="1">
      <c r="A2" s="109"/>
      <c r="B2" s="89"/>
      <c r="C2" s="102"/>
    </row>
    <row r="3" spans="1:3" s="96" customFormat="1">
      <c r="A3" s="102" t="s">
        <v>11</v>
      </c>
    </row>
    <row r="4" spans="1:3" s="96" customFormat="1"/>
    <row r="5" spans="1:3" s="96" customFormat="1">
      <c r="A5" s="108" t="s">
        <v>62</v>
      </c>
      <c r="B5" s="107">
        <v>18</v>
      </c>
    </row>
    <row r="6" spans="1:3" s="96" customFormat="1">
      <c r="A6" s="106" t="s">
        <v>61</v>
      </c>
      <c r="B6" s="105">
        <v>12</v>
      </c>
    </row>
    <row r="7" spans="1:3" s="96" customFormat="1">
      <c r="A7" s="104" t="s">
        <v>60</v>
      </c>
      <c r="B7" s="103">
        <v>9</v>
      </c>
    </row>
    <row r="8" spans="1:3" s="96" customFormat="1"/>
    <row r="9" spans="1:3" s="96" customFormat="1">
      <c r="A9" s="102" t="s">
        <v>4</v>
      </c>
    </row>
    <row r="10" spans="1:3" s="96" customFormat="1">
      <c r="A10" s="89"/>
      <c r="B10" s="89"/>
    </row>
    <row r="11" spans="1:3" s="96" customFormat="1">
      <c r="A11" s="101" t="s">
        <v>10</v>
      </c>
      <c r="B11" s="100">
        <v>41</v>
      </c>
    </row>
    <row r="12" spans="1:3" s="96" customFormat="1">
      <c r="A12" s="99" t="s">
        <v>59</v>
      </c>
      <c r="B12" s="115">
        <v>44</v>
      </c>
    </row>
    <row r="13" spans="1:3" s="96" customFormat="1">
      <c r="A13" s="99"/>
      <c r="B13" s="98"/>
    </row>
    <row r="14" spans="1:3" s="96" customFormat="1">
      <c r="A14" s="99" t="s">
        <v>5</v>
      </c>
      <c r="B14" s="98">
        <f>MIN(B11,B12)</f>
        <v>41</v>
      </c>
      <c r="C14" s="97"/>
    </row>
    <row r="15" spans="1:3">
      <c r="A15" s="95" t="s">
        <v>58</v>
      </c>
      <c r="B15" s="94">
        <f>MAX(0,B12-B11)</f>
        <v>3</v>
      </c>
      <c r="C15" s="93"/>
    </row>
    <row r="16" spans="1:3">
      <c r="A16" s="92"/>
      <c r="C16" s="93"/>
    </row>
    <row r="17" spans="1:3">
      <c r="A17" s="92" t="s">
        <v>6</v>
      </c>
      <c r="B17" s="116">
        <f>B5*B14</f>
        <v>738</v>
      </c>
      <c r="C17" s="90"/>
    </row>
    <row r="18" spans="1:3">
      <c r="A18" s="92" t="s">
        <v>66</v>
      </c>
      <c r="B18" s="116">
        <f>B7*B15</f>
        <v>27</v>
      </c>
      <c r="C18" s="90"/>
    </row>
    <row r="19" spans="1:3">
      <c r="A19" s="92" t="s">
        <v>61</v>
      </c>
      <c r="B19" s="116">
        <f>B6*B12</f>
        <v>528</v>
      </c>
      <c r="C19" s="90"/>
    </row>
    <row r="20" spans="1:3">
      <c r="A20" s="92" t="s">
        <v>9</v>
      </c>
      <c r="B20" s="91">
        <f>B14*B5+B15*B7-B12*B6</f>
        <v>237</v>
      </c>
      <c r="C20" s="90"/>
    </row>
    <row r="21" spans="1:3">
      <c r="C21" s="90"/>
    </row>
    <row r="22" spans="1:3">
      <c r="C22" s="90"/>
    </row>
    <row r="23" spans="1:3">
      <c r="C23" s="90"/>
    </row>
    <row r="24" spans="1:3">
      <c r="C24" s="90"/>
    </row>
    <row r="25" spans="1:3">
      <c r="C25" s="90"/>
    </row>
    <row r="26" spans="1:3">
      <c r="C26" s="90"/>
    </row>
    <row r="27" spans="1:3">
      <c r="C27" s="90"/>
    </row>
    <row r="28" spans="1:3">
      <c r="C28" s="90"/>
    </row>
    <row r="29" spans="1:3">
      <c r="C29" s="90"/>
    </row>
    <row r="30" spans="1:3">
      <c r="C30" s="90"/>
    </row>
  </sheetData>
  <printOptions headings="1"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74DE1-B7A2-4421-A04F-86371F87A97A}">
  <dimension ref="A1:L27"/>
  <sheetViews>
    <sheetView workbookViewId="0">
      <selection activeCell="D26" sqref="D26"/>
    </sheetView>
  </sheetViews>
  <sheetFormatPr defaultColWidth="9.88671875" defaultRowHeight="13.2"/>
  <cols>
    <col min="1" max="1" width="9.88671875" style="110"/>
    <col min="2" max="2" width="10.77734375" style="110" bestFit="1" customWidth="1"/>
    <col min="3" max="16384" width="9.88671875" style="110"/>
  </cols>
  <sheetData>
    <row r="1" spans="1:12">
      <c r="A1" s="114" t="s">
        <v>65</v>
      </c>
      <c r="B1" s="114"/>
    </row>
    <row r="2" spans="1:12">
      <c r="A2" s="114"/>
      <c r="B2" s="114"/>
    </row>
    <row r="3" spans="1:12" ht="13.8" thickBot="1">
      <c r="A3" s="113" t="s">
        <v>64</v>
      </c>
      <c r="B3" s="113" t="s">
        <v>10</v>
      </c>
    </row>
    <row r="4" spans="1:12" ht="13.8" thickTop="1">
      <c r="A4" s="112">
        <v>50</v>
      </c>
      <c r="B4" s="111">
        <v>19964.085046304601</v>
      </c>
    </row>
    <row r="5" spans="1:12">
      <c r="A5" s="112">
        <v>60</v>
      </c>
      <c r="B5" s="111">
        <v>19706.854883333624</v>
      </c>
    </row>
    <row r="6" spans="1:12">
      <c r="A6" s="112">
        <v>70</v>
      </c>
      <c r="B6" s="111">
        <v>20240.829810394785</v>
      </c>
    </row>
    <row r="7" spans="1:12">
      <c r="A7" s="112">
        <v>80</v>
      </c>
      <c r="B7" s="111">
        <v>19698.807039514682</v>
      </c>
    </row>
    <row r="8" spans="1:12">
      <c r="A8" s="112">
        <v>90</v>
      </c>
      <c r="B8" s="111">
        <v>20095.808056011363</v>
      </c>
      <c r="K8" s="114" t="s">
        <v>67</v>
      </c>
      <c r="L8" s="110">
        <f>SLOPE(B4:B24,A4:A24)</f>
        <v>-9.5116229447923093</v>
      </c>
    </row>
    <row r="9" spans="1:12">
      <c r="A9" s="112">
        <v>100</v>
      </c>
      <c r="B9" s="111">
        <v>19390.994086061728</v>
      </c>
      <c r="K9" s="114" t="s">
        <v>68</v>
      </c>
      <c r="L9" s="110">
        <f>INTERCEPT(B4:B24,A4:A24)</f>
        <v>20512.127336649311</v>
      </c>
    </row>
    <row r="10" spans="1:12">
      <c r="A10" s="112">
        <v>110</v>
      </c>
      <c r="B10" s="111">
        <v>19430.071144176232</v>
      </c>
    </row>
    <row r="11" spans="1:12">
      <c r="A11" s="112">
        <v>120</v>
      </c>
      <c r="B11" s="111">
        <v>19273.694764882694</v>
      </c>
    </row>
    <row r="12" spans="1:12">
      <c r="A12" s="112">
        <v>130</v>
      </c>
      <c r="B12" s="111">
        <v>18716.380778313178</v>
      </c>
    </row>
    <row r="13" spans="1:12">
      <c r="A13" s="112">
        <v>140</v>
      </c>
      <c r="B13" s="111">
        <v>18925.363869202043</v>
      </c>
    </row>
    <row r="14" spans="1:12">
      <c r="A14" s="112">
        <v>150</v>
      </c>
      <c r="B14" s="111">
        <v>19484.775702082858</v>
      </c>
    </row>
    <row r="15" spans="1:12">
      <c r="A15" s="112">
        <v>160</v>
      </c>
      <c r="B15" s="111">
        <v>18934.879113507799</v>
      </c>
    </row>
    <row r="16" spans="1:12">
      <c r="A16" s="112">
        <v>170</v>
      </c>
      <c r="B16" s="111">
        <v>18915.76533800791</v>
      </c>
    </row>
    <row r="17" spans="1:2">
      <c r="A17" s="112">
        <v>180</v>
      </c>
      <c r="B17" s="111">
        <v>18893.3728086792</v>
      </c>
    </row>
    <row r="18" spans="1:2">
      <c r="A18" s="112">
        <v>190</v>
      </c>
      <c r="B18" s="111">
        <v>18961.62238949152</v>
      </c>
    </row>
    <row r="19" spans="1:2">
      <c r="A19" s="112">
        <v>200</v>
      </c>
      <c r="B19" s="111">
        <v>18443.293567959841</v>
      </c>
    </row>
    <row r="20" spans="1:2">
      <c r="A20" s="112">
        <v>210</v>
      </c>
      <c r="B20" s="111">
        <v>18811.980589879629</v>
      </c>
    </row>
    <row r="21" spans="1:2">
      <c r="A21" s="112">
        <v>220</v>
      </c>
      <c r="B21" s="111">
        <v>18561.916613341185</v>
      </c>
    </row>
    <row r="22" spans="1:2">
      <c r="A22" s="112">
        <v>230</v>
      </c>
      <c r="B22" s="111">
        <v>18158.61938931152</v>
      </c>
    </row>
    <row r="23" spans="1:2">
      <c r="A23" s="112">
        <v>240</v>
      </c>
      <c r="B23" s="111">
        <v>18412.560029851578</v>
      </c>
    </row>
    <row r="24" spans="1:2">
      <c r="A24" s="112">
        <v>250</v>
      </c>
      <c r="B24" s="111">
        <v>17771.386773231818</v>
      </c>
    </row>
    <row r="26" spans="1:2">
      <c r="A26" s="117">
        <v>195</v>
      </c>
      <c r="B26" s="118">
        <f>A26*$L$8+$L$9</f>
        <v>18657.360862414811</v>
      </c>
    </row>
    <row r="27" spans="1:2">
      <c r="A27" s="117">
        <v>300</v>
      </c>
      <c r="B27" s="118">
        <f>A27*$L$8+$L$9</f>
        <v>17658.640453211618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2EF16-4D78-4309-ABE2-C3BB7A4B9B33}">
  <dimension ref="A2:F33"/>
  <sheetViews>
    <sheetView tabSelected="1" workbookViewId="0">
      <selection activeCell="C11" sqref="C11"/>
    </sheetView>
  </sheetViews>
  <sheetFormatPr defaultRowHeight="13.2"/>
  <cols>
    <col min="1" max="1" width="28.44140625" bestFit="1" customWidth="1"/>
    <col min="6" max="6" width="12.44140625" bestFit="1" customWidth="1"/>
  </cols>
  <sheetData>
    <row r="2" spans="1:6">
      <c r="A2" s="2" t="s">
        <v>69</v>
      </c>
    </row>
    <row r="3" spans="1:6">
      <c r="A3" s="3" t="s">
        <v>70</v>
      </c>
      <c r="B3">
        <v>75000</v>
      </c>
    </row>
    <row r="4" spans="1:6">
      <c r="A4" s="3" t="s">
        <v>71</v>
      </c>
      <c r="B4" s="119">
        <v>0.03</v>
      </c>
    </row>
    <row r="5" spans="1:6">
      <c r="A5" s="3" t="s">
        <v>72</v>
      </c>
      <c r="B5" s="120">
        <v>15</v>
      </c>
    </row>
    <row r="6" spans="1:6">
      <c r="A6" s="3" t="s">
        <v>73</v>
      </c>
      <c r="B6" s="119">
        <v>7.0000000000000007E-2</v>
      </c>
    </row>
    <row r="7" spans="1:6">
      <c r="A7" s="3" t="s">
        <v>79</v>
      </c>
      <c r="B7" s="120">
        <v>0.2</v>
      </c>
    </row>
    <row r="9" spans="1:6" ht="39.6">
      <c r="A9" s="2" t="s">
        <v>74</v>
      </c>
      <c r="B9" s="3" t="s">
        <v>75</v>
      </c>
      <c r="C9" s="3" t="s">
        <v>76</v>
      </c>
      <c r="D9" s="3" t="s">
        <v>77</v>
      </c>
      <c r="E9" s="121" t="s">
        <v>78</v>
      </c>
      <c r="F9" s="3" t="s">
        <v>6</v>
      </c>
    </row>
    <row r="10" spans="1:6">
      <c r="B10">
        <v>1</v>
      </c>
      <c r="C10">
        <f>B3*(1+B4)</f>
        <v>77250</v>
      </c>
      <c r="D10">
        <f>ROUND($B$4*C10,0)</f>
        <v>2318</v>
      </c>
      <c r="E10" s="122">
        <f>B5+B7</f>
        <v>15.2</v>
      </c>
      <c r="F10" s="122">
        <f>E10*D10</f>
        <v>35233.599999999999</v>
      </c>
    </row>
    <row r="11" spans="1:6">
      <c r="B11">
        <v>2</v>
      </c>
      <c r="C11">
        <f>ROUND(C10*(1+$B$6),0)</f>
        <v>82658</v>
      </c>
      <c r="D11">
        <f>ROUND($B$4*C11,0)</f>
        <v>2480</v>
      </c>
      <c r="E11" s="122">
        <f>E10+$B$7</f>
        <v>15.399999999999999</v>
      </c>
      <c r="F11" s="122">
        <f>E11*D11</f>
        <v>38192</v>
      </c>
    </row>
    <row r="12" spans="1:6">
      <c r="B12">
        <v>3</v>
      </c>
      <c r="C12">
        <f t="shared" ref="C12:C33" si="0">ROUND(C11*(1+$B$6),0)</f>
        <v>88444</v>
      </c>
      <c r="D12">
        <f t="shared" ref="D12:D33" si="1">ROUND($B$4*C12,0)</f>
        <v>2653</v>
      </c>
      <c r="E12" s="122">
        <f t="shared" ref="E12:E33" si="2">E11+$B$7</f>
        <v>15.599999999999998</v>
      </c>
      <c r="F12" s="122">
        <f t="shared" ref="F12:F33" si="3">E12*D12</f>
        <v>41386.799999999996</v>
      </c>
    </row>
    <row r="13" spans="1:6">
      <c r="B13">
        <v>4</v>
      </c>
      <c r="C13">
        <f t="shared" si="0"/>
        <v>94635</v>
      </c>
      <c r="D13">
        <f t="shared" si="1"/>
        <v>2839</v>
      </c>
      <c r="E13" s="122">
        <f t="shared" si="2"/>
        <v>15.799999999999997</v>
      </c>
      <c r="F13" s="122">
        <f t="shared" si="3"/>
        <v>44856.19999999999</v>
      </c>
    </row>
    <row r="14" spans="1:6">
      <c r="B14">
        <v>5</v>
      </c>
      <c r="C14">
        <f t="shared" si="0"/>
        <v>101259</v>
      </c>
      <c r="D14">
        <f t="shared" si="1"/>
        <v>3038</v>
      </c>
      <c r="E14" s="122">
        <f t="shared" si="2"/>
        <v>15.999999999999996</v>
      </c>
      <c r="F14" s="122">
        <f t="shared" si="3"/>
        <v>48607.999999999993</v>
      </c>
    </row>
    <row r="15" spans="1:6">
      <c r="B15">
        <v>6</v>
      </c>
      <c r="C15">
        <f t="shared" si="0"/>
        <v>108347</v>
      </c>
      <c r="D15">
        <f t="shared" si="1"/>
        <v>3250</v>
      </c>
      <c r="E15" s="122">
        <f t="shared" si="2"/>
        <v>16.199999999999996</v>
      </c>
      <c r="F15" s="122">
        <f t="shared" si="3"/>
        <v>52649.999999999985</v>
      </c>
    </row>
    <row r="16" spans="1:6">
      <c r="B16">
        <v>7</v>
      </c>
      <c r="C16">
        <f t="shared" si="0"/>
        <v>115931</v>
      </c>
      <c r="D16">
        <f t="shared" si="1"/>
        <v>3478</v>
      </c>
      <c r="E16" s="122">
        <f t="shared" si="2"/>
        <v>16.399999999999995</v>
      </c>
      <c r="F16" s="122">
        <f t="shared" si="3"/>
        <v>57039.199999999983</v>
      </c>
    </row>
    <row r="17" spans="2:6">
      <c r="B17">
        <v>8</v>
      </c>
      <c r="C17">
        <f t="shared" si="0"/>
        <v>124046</v>
      </c>
      <c r="D17">
        <f t="shared" si="1"/>
        <v>3721</v>
      </c>
      <c r="E17" s="122">
        <f t="shared" si="2"/>
        <v>16.599999999999994</v>
      </c>
      <c r="F17" s="122">
        <f t="shared" si="3"/>
        <v>61768.599999999977</v>
      </c>
    </row>
    <row r="18" spans="2:6">
      <c r="B18">
        <v>9</v>
      </c>
      <c r="C18">
        <f t="shared" si="0"/>
        <v>132729</v>
      </c>
      <c r="D18">
        <f t="shared" si="1"/>
        <v>3982</v>
      </c>
      <c r="E18" s="122">
        <f t="shared" si="2"/>
        <v>16.799999999999994</v>
      </c>
      <c r="F18" s="122">
        <f t="shared" si="3"/>
        <v>66897.599999999977</v>
      </c>
    </row>
    <row r="19" spans="2:6">
      <c r="B19">
        <v>10</v>
      </c>
      <c r="C19">
        <f t="shared" si="0"/>
        <v>142020</v>
      </c>
      <c r="D19">
        <f t="shared" si="1"/>
        <v>4261</v>
      </c>
      <c r="E19" s="122">
        <f t="shared" si="2"/>
        <v>16.999999999999993</v>
      </c>
      <c r="F19" s="122">
        <f t="shared" si="3"/>
        <v>72436.999999999971</v>
      </c>
    </row>
    <row r="20" spans="2:6">
      <c r="B20">
        <v>11</v>
      </c>
      <c r="C20">
        <f t="shared" si="0"/>
        <v>151961</v>
      </c>
      <c r="D20">
        <f t="shared" si="1"/>
        <v>4559</v>
      </c>
      <c r="E20" s="122">
        <f t="shared" si="2"/>
        <v>17.199999999999992</v>
      </c>
      <c r="F20" s="122">
        <f t="shared" si="3"/>
        <v>78414.799999999959</v>
      </c>
    </row>
    <row r="21" spans="2:6">
      <c r="B21">
        <v>12</v>
      </c>
      <c r="C21">
        <f t="shared" si="0"/>
        <v>162598</v>
      </c>
      <c r="D21">
        <f t="shared" si="1"/>
        <v>4878</v>
      </c>
      <c r="E21" s="122">
        <f t="shared" si="2"/>
        <v>17.399999999999991</v>
      </c>
      <c r="F21" s="122">
        <f t="shared" si="3"/>
        <v>84877.199999999953</v>
      </c>
    </row>
    <row r="22" spans="2:6">
      <c r="B22">
        <v>13</v>
      </c>
      <c r="C22">
        <f t="shared" si="0"/>
        <v>173980</v>
      </c>
      <c r="D22">
        <f t="shared" si="1"/>
        <v>5219</v>
      </c>
      <c r="E22" s="122">
        <f t="shared" si="2"/>
        <v>17.599999999999991</v>
      </c>
      <c r="F22" s="122">
        <f t="shared" si="3"/>
        <v>91854.399999999951</v>
      </c>
    </row>
    <row r="23" spans="2:6">
      <c r="B23">
        <v>14</v>
      </c>
      <c r="C23">
        <f t="shared" si="0"/>
        <v>186159</v>
      </c>
      <c r="D23">
        <f t="shared" si="1"/>
        <v>5585</v>
      </c>
      <c r="E23" s="122">
        <f t="shared" si="2"/>
        <v>17.79999999999999</v>
      </c>
      <c r="F23" s="122">
        <f t="shared" si="3"/>
        <v>99412.999999999942</v>
      </c>
    </row>
    <row r="24" spans="2:6">
      <c r="B24">
        <v>15</v>
      </c>
      <c r="C24">
        <f t="shared" si="0"/>
        <v>199190</v>
      </c>
      <c r="D24">
        <f t="shared" si="1"/>
        <v>5976</v>
      </c>
      <c r="E24" s="122">
        <f t="shared" si="2"/>
        <v>17.999999999999989</v>
      </c>
      <c r="F24" s="122">
        <f t="shared" si="3"/>
        <v>107567.99999999994</v>
      </c>
    </row>
    <row r="25" spans="2:6">
      <c r="B25">
        <v>16</v>
      </c>
      <c r="C25">
        <f t="shared" si="0"/>
        <v>213133</v>
      </c>
      <c r="D25">
        <f t="shared" si="1"/>
        <v>6394</v>
      </c>
      <c r="E25" s="122">
        <f t="shared" si="2"/>
        <v>18.199999999999989</v>
      </c>
      <c r="F25" s="122">
        <f t="shared" si="3"/>
        <v>116370.79999999993</v>
      </c>
    </row>
    <row r="26" spans="2:6">
      <c r="B26">
        <v>17</v>
      </c>
      <c r="C26">
        <f t="shared" si="0"/>
        <v>228052</v>
      </c>
      <c r="D26">
        <f t="shared" si="1"/>
        <v>6842</v>
      </c>
      <c r="E26" s="122">
        <f t="shared" si="2"/>
        <v>18.399999999999988</v>
      </c>
      <c r="F26" s="122">
        <f t="shared" si="3"/>
        <v>125892.79999999992</v>
      </c>
    </row>
    <row r="27" spans="2:6">
      <c r="B27">
        <v>18</v>
      </c>
      <c r="C27">
        <f t="shared" si="0"/>
        <v>244016</v>
      </c>
      <c r="D27">
        <f t="shared" si="1"/>
        <v>7320</v>
      </c>
      <c r="E27" s="122">
        <f t="shared" si="2"/>
        <v>18.599999999999987</v>
      </c>
      <c r="F27" s="122">
        <f t="shared" si="3"/>
        <v>136151.99999999991</v>
      </c>
    </row>
    <row r="28" spans="2:6">
      <c r="B28">
        <v>19</v>
      </c>
      <c r="C28">
        <f t="shared" si="0"/>
        <v>261097</v>
      </c>
      <c r="D28">
        <f t="shared" si="1"/>
        <v>7833</v>
      </c>
      <c r="E28" s="122">
        <f t="shared" si="2"/>
        <v>18.799999999999986</v>
      </c>
      <c r="F28" s="122">
        <f t="shared" si="3"/>
        <v>147260.39999999991</v>
      </c>
    </row>
    <row r="29" spans="2:6">
      <c r="B29">
        <v>20</v>
      </c>
      <c r="C29">
        <f t="shared" si="0"/>
        <v>279374</v>
      </c>
      <c r="D29">
        <f t="shared" si="1"/>
        <v>8381</v>
      </c>
      <c r="E29" s="122">
        <f t="shared" si="2"/>
        <v>18.999999999999986</v>
      </c>
      <c r="F29" s="122">
        <f t="shared" si="3"/>
        <v>159238.99999999988</v>
      </c>
    </row>
    <row r="30" spans="2:6">
      <c r="B30">
        <v>21</v>
      </c>
      <c r="C30">
        <f t="shared" si="0"/>
        <v>298930</v>
      </c>
      <c r="D30">
        <f t="shared" si="1"/>
        <v>8968</v>
      </c>
      <c r="E30" s="122">
        <f t="shared" si="2"/>
        <v>19.199999999999985</v>
      </c>
      <c r="F30" s="122">
        <f t="shared" si="3"/>
        <v>172185.59999999986</v>
      </c>
    </row>
    <row r="31" spans="2:6">
      <c r="B31">
        <v>22</v>
      </c>
      <c r="C31">
        <f t="shared" si="0"/>
        <v>319855</v>
      </c>
      <c r="D31">
        <f t="shared" si="1"/>
        <v>9596</v>
      </c>
      <c r="E31" s="122">
        <f t="shared" si="2"/>
        <v>19.399999999999984</v>
      </c>
      <c r="F31" s="122">
        <f t="shared" si="3"/>
        <v>186162.39999999985</v>
      </c>
    </row>
    <row r="32" spans="2:6">
      <c r="B32">
        <v>23</v>
      </c>
      <c r="C32">
        <f t="shared" si="0"/>
        <v>342245</v>
      </c>
      <c r="D32">
        <f t="shared" si="1"/>
        <v>10267</v>
      </c>
      <c r="E32" s="122">
        <f t="shared" si="2"/>
        <v>19.599999999999984</v>
      </c>
      <c r="F32" s="122">
        <f t="shared" si="3"/>
        <v>201233.19999999984</v>
      </c>
    </row>
    <row r="33" spans="2:6">
      <c r="B33">
        <v>24</v>
      </c>
      <c r="C33">
        <f t="shared" si="0"/>
        <v>366202</v>
      </c>
      <c r="D33">
        <f t="shared" si="1"/>
        <v>10986</v>
      </c>
      <c r="E33" s="122">
        <f t="shared" si="2"/>
        <v>19.799999999999983</v>
      </c>
      <c r="F33" s="122">
        <f t="shared" si="3"/>
        <v>217522.79999999981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CF5AD6D8DCD440A6B8A117BF8AF6A2" ma:contentTypeVersion="19" ma:contentTypeDescription="Create a new document." ma:contentTypeScope="" ma:versionID="fe33cc48d2c41d6e8d3a5189c5bed1ef">
  <xsd:schema xmlns:xsd="http://www.w3.org/2001/XMLSchema" xmlns:xs="http://www.w3.org/2001/XMLSchema" xmlns:p="http://schemas.microsoft.com/office/2006/metadata/properties" xmlns:ns1="http://schemas.microsoft.com/sharepoint/v3" xmlns:ns3="7a6e37b5-1edd-440d-8fb5-458a524f50c1" xmlns:ns4="3d6dd6d0-93c8-45ce-b910-d93d26537f89" targetNamespace="http://schemas.microsoft.com/office/2006/metadata/properties" ma:root="true" ma:fieldsID="babe40048319d7be5a6c80724fce2971" ns1:_="" ns3:_="" ns4:_="">
    <xsd:import namespace="http://schemas.microsoft.com/sharepoint/v3"/>
    <xsd:import namespace="7a6e37b5-1edd-440d-8fb5-458a524f50c1"/>
    <xsd:import namespace="3d6dd6d0-93c8-45ce-b910-d93d26537f8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DateTaken" minOccurs="0"/>
                <xsd:element ref="ns3:MigrationWizId" minOccurs="0"/>
                <xsd:element ref="ns3:MigrationWizIdPermissions" minOccurs="0"/>
                <xsd:element ref="ns3:MigrationWizIdPermissionLevels" minOccurs="0"/>
                <xsd:element ref="ns3:MigrationWizIdDocumentLibraryPermissions" minOccurs="0"/>
                <xsd:element ref="ns3:MigrationWizIdSecurityGroups" minOccurs="0"/>
                <xsd:element ref="ns4:SharedWithUsers" minOccurs="0"/>
                <xsd:element ref="ns4:SharedWithDetails" minOccurs="0"/>
                <xsd:element ref="ns4:SharingHintHash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6e37b5-1edd-440d-8fb5-458a524f50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igrationWizId" ma:index="17" nillable="true" ma:displayName="MigrationWizId" ma:internalName="MigrationWizId">
      <xsd:simpleType>
        <xsd:restriction base="dms:Text"/>
      </xsd:simpleType>
    </xsd:element>
    <xsd:element name="MigrationWizIdPermissions" ma:index="18" nillable="true" ma:displayName="MigrationWizIdPermissions" ma:internalName="MigrationWizIdPermissions">
      <xsd:simpleType>
        <xsd:restriction base="dms:Text"/>
      </xsd:simpleType>
    </xsd:element>
    <xsd:element name="MigrationWizIdPermissionLevels" ma:index="19" nillable="true" ma:displayName="MigrationWizIdPermissionLevels" ma:internalName="MigrationWizIdPermissionLevels">
      <xsd:simpleType>
        <xsd:restriction base="dms:Text"/>
      </xsd:simpleType>
    </xsd:element>
    <xsd:element name="MigrationWizIdDocumentLibraryPermissions" ma:index="20" nillable="true" ma:displayName="MigrationWizIdDocumentLibraryPermissions" ma:internalName="MigrationWizIdDocumentLibraryPermissions">
      <xsd:simpleType>
        <xsd:restriction base="dms:Text"/>
      </xsd:simpleType>
    </xsd:element>
    <xsd:element name="MigrationWizIdSecurityGroups" ma:index="21" nillable="true" ma:displayName="MigrationWizIdSecurityGroups" ma:internalName="MigrationWizIdSecurityGroup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6dd6d0-93c8-45ce-b910-d93d26537f89" elementFormDefault="qualified">
    <xsd:import namespace="http://schemas.microsoft.com/office/2006/documentManagement/types"/>
    <xsd:import namespace="http://schemas.microsoft.com/office/infopath/2007/PartnerControls"/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PermissionLevels xmlns="7a6e37b5-1edd-440d-8fb5-458a524f50c1" xsi:nil="true"/>
    <MigrationWizId xmlns="7a6e37b5-1edd-440d-8fb5-458a524f50c1" xsi:nil="true"/>
    <MigrationWizIdPermissions xmlns="7a6e37b5-1edd-440d-8fb5-458a524f50c1" xsi:nil="true"/>
    <MigrationWizIdSecurityGroups xmlns="7a6e37b5-1edd-440d-8fb5-458a524f50c1" xsi:nil="true"/>
    <MigrationWizIdDocumentLibraryPermissions xmlns="7a6e37b5-1edd-440d-8fb5-458a524f50c1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FEBB7A-8153-40BC-A4A5-90011B547B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a6e37b5-1edd-440d-8fb5-458a524f50c1"/>
    <ds:schemaRef ds:uri="3d6dd6d0-93c8-45ce-b910-d93d26537f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8AC5138-586A-421C-BD48-56AEC9D6D634}">
  <ds:schemaRefs>
    <ds:schemaRef ds:uri="http://schemas.microsoft.com/office/2006/metadata/properties"/>
    <ds:schemaRef ds:uri="http://schemas.microsoft.com/sharepoint/v3"/>
    <ds:schemaRef ds:uri="http://schemas.openxmlformats.org/package/2006/metadata/core-properties"/>
    <ds:schemaRef ds:uri="http://purl.org/dc/terms/"/>
    <ds:schemaRef ds:uri="3d6dd6d0-93c8-45ce-b910-d93d26537f89"/>
    <ds:schemaRef ds:uri="http://schemas.microsoft.com/office/2006/documentManagement/types"/>
    <ds:schemaRef ds:uri="7a6e37b5-1edd-440d-8fb5-458a524f50c1"/>
    <ds:schemaRef ds:uri="http://purl.org/dc/elements/1.1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9DCA914-E8AB-4B12-9564-BFE3E8DF690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Profit Model</vt:lpstr>
      <vt:lpstr>Data-Model</vt:lpstr>
      <vt:lpstr>NPV Forecast</vt:lpstr>
      <vt:lpstr>Moore Pharmaceuticals</vt:lpstr>
      <vt:lpstr>Retirement Plan</vt:lpstr>
      <vt:lpstr>Newsvendor Model</vt:lpstr>
      <vt:lpstr>Price-Sales Data</vt:lpstr>
      <vt:lpstr>Order Model</vt:lpstr>
    </vt:vector>
  </TitlesOfParts>
  <Company>University of Cincinnati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Camm</dc:creator>
  <cp:lastModifiedBy>George</cp:lastModifiedBy>
  <dcterms:created xsi:type="dcterms:W3CDTF">1998-07-23T11:58:40Z</dcterms:created>
  <dcterms:modified xsi:type="dcterms:W3CDTF">2022-05-03T18:16:01Z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0x01010024CF5AD6D8DCD440A6B8A117BF8AF6A2</vt:lpwstr>
  </property>
</Properties>
</file>