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veuwstout-my.sharepoint.com/personal/sabinj3181_my_uwstout_edu/Documents/Desktop/CapstoneFiles/"/>
    </mc:Choice>
  </mc:AlternateContent>
  <xr:revisionPtr revIDLastSave="0" documentId="8_{68412186-8FC1-4A56-BA95-3F09987CD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  <c r="B17" i="1" s="1" a="1"/>
  <c r="B17" i="1" s="1"/>
  <c r="B16" i="1" a="1"/>
  <c r="B16" i="1" s="1"/>
  <c r="B24" i="1"/>
  <c r="B12" i="1"/>
  <c r="B13" i="1"/>
  <c r="F3" i="1"/>
  <c r="E3" i="1"/>
  <c r="D3" i="1"/>
  <c r="B14" i="1"/>
  <c r="N28" i="1"/>
  <c r="N17" i="1"/>
  <c r="I3" i="1"/>
  <c r="H3" i="1"/>
  <c r="B33" i="1"/>
  <c r="G3" i="1"/>
  <c r="B10" i="1" s="1"/>
  <c r="B8" i="1" l="1"/>
  <c r="B19" i="1" s="1"/>
  <c r="B18" i="1" a="1"/>
  <c r="B18" i="1" s="1"/>
  <c r="B9" i="1"/>
  <c r="E26" i="1"/>
  <c r="B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<sst xmlns="http://schemas.openxmlformats.org/spreadsheetml/2006/main" count="78" uniqueCount="66">
  <si>
    <t>Target Frequency</t>
  </si>
  <si>
    <t>Target Impedence</t>
  </si>
  <si>
    <t>Expected Operating Distance</t>
  </si>
  <si>
    <t xml:space="preserve">Q Factor </t>
  </si>
  <si>
    <t>L0</t>
  </si>
  <si>
    <t>C01</t>
  </si>
  <si>
    <t>C02</t>
  </si>
  <si>
    <t>MHz</t>
  </si>
  <si>
    <t xml:space="preserve"> Ω</t>
  </si>
  <si>
    <t>nH</t>
  </si>
  <si>
    <t>ω</t>
  </si>
  <si>
    <t>pF</t>
  </si>
  <si>
    <t>C0  Calculated</t>
  </si>
  <si>
    <t>EMC FILTER</t>
  </si>
  <si>
    <t>MATCHING CIRCUIT</t>
  </si>
  <si>
    <t>C1</t>
  </si>
  <si>
    <t>C2</t>
  </si>
  <si>
    <t>Frequency Cutoff</t>
  </si>
  <si>
    <t>MEGA</t>
  </si>
  <si>
    <t>NANO</t>
  </si>
  <si>
    <t>PICO</t>
  </si>
  <si>
    <t>Rs</t>
  </si>
  <si>
    <t>Variable</t>
  </si>
  <si>
    <t>Value</t>
  </si>
  <si>
    <t>RL</t>
  </si>
  <si>
    <t>XL</t>
  </si>
  <si>
    <t>Formula:</t>
  </si>
  <si>
    <t>Solution:</t>
  </si>
  <si>
    <t>XB1 =</t>
  </si>
  <si>
    <t>X_A1,2</t>
  </si>
  <si>
    <t>X_S</t>
  </si>
  <si>
    <t>X_B1, 2</t>
  </si>
  <si>
    <t>R_L</t>
  </si>
  <si>
    <t>X_L</t>
  </si>
  <si>
    <t>XB1,2 = (Rs/(RL-Rs)) * (XL +- RL * sqrt((RL/Rs) + (XL^2 / Rs*RL) - 1)</t>
  </si>
  <si>
    <t>XB1,2 Table</t>
  </si>
  <si>
    <t>N turns</t>
  </si>
  <si>
    <t>Inductance</t>
  </si>
  <si>
    <t>Capacitance</t>
  </si>
  <si>
    <t>Track Width</t>
  </si>
  <si>
    <t>Track Gap</t>
  </si>
  <si>
    <t>ANTENNA</t>
  </si>
  <si>
    <t>Coil Length</t>
  </si>
  <si>
    <t>Coil Cross Sectional Area</t>
  </si>
  <si>
    <t>Antenna Diameter (in center)</t>
  </si>
  <si>
    <t>CENTI</t>
  </si>
  <si>
    <t>MICRO</t>
  </si>
  <si>
    <t>MILLI</t>
  </si>
  <si>
    <t>mm</t>
  </si>
  <si>
    <t>~30</t>
  </si>
  <si>
    <t>Permability of Copper</t>
  </si>
  <si>
    <t>Trace width</t>
  </si>
  <si>
    <t>mm^2</t>
  </si>
  <si>
    <t>k1</t>
  </si>
  <si>
    <t>k2</t>
  </si>
  <si>
    <t>u Naught</t>
  </si>
  <si>
    <t xml:space="preserve">d avg </t>
  </si>
  <si>
    <t>p avg</t>
  </si>
  <si>
    <t>Micro Henries</t>
  </si>
  <si>
    <t>Area of Trace Face</t>
  </si>
  <si>
    <t>m^2</t>
  </si>
  <si>
    <t>Resistivity of Copper</t>
  </si>
  <si>
    <t>ohm-meter</t>
  </si>
  <si>
    <r>
      <rPr>
        <sz val="12"/>
        <color theme="1"/>
        <rFont val="Calibri"/>
        <family val="2"/>
        <scheme val="minor"/>
      </rPr>
      <t>ω</t>
    </r>
    <r>
      <rPr>
        <sz val="8"/>
        <color theme="1"/>
        <rFont val="Calibri"/>
        <family val="2"/>
        <scheme val="minor"/>
      </rPr>
      <t>0</t>
    </r>
  </si>
  <si>
    <t>Resistance</t>
  </si>
  <si>
    <t>Pico farads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</si>
</sst>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E2EEFF"/>
      <name val="Arial"/>
      <family val="2"/>
    </font>
    <font>
      <sz val="10"/>
      <color rgb="FFE2EE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11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18</xdr:row>
      <xdr:rowOff>0</xdr:rowOff>
    </xdr:from>
    <xdr:to>
      <xdr:col>8</xdr:col>
      <xdr:colOff>44031</xdr:colOff>
      <xdr:row>29</xdr:row>
      <xdr:rowOff>122105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95256C-34F2-4269-D634-3A505A18CA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3"/>
        <a:stretch/>
      </xdr:blipFill>
      <xdr:spPr>
        <a:xfrm>
          <a:off x="4651058" y="2921000"/>
          <a:ext cx="2108098" cy="21302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6</xdr:col>
      <xdr:colOff>425249</xdr:colOff>
      <xdr:row>52</xdr:row>
      <xdr:rowOff>91575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6D55F-ECC8-B0A3-0BDD-7A8D831EE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54880"/>
          <a:ext cx="5822185" cy="155461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</xdr:colOff>
      <xdr:row>1</xdr:row>
      <xdr:rowOff>22860</xdr:rowOff>
    </xdr:from>
    <xdr:to>
      <xdr:col>21</xdr:col>
      <xdr:colOff>190500</xdr:colOff>
      <xdr:row>12</xdr:row>
      <xdr:rowOff>93556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F1A095-7726-DE09-4CC3-AA261AAEA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460" y="205740"/>
          <a:ext cx="3840480" cy="2082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403860</xdr:colOff>
      <xdr:row>4</xdr:row>
      <xdr:rowOff>99060</xdr:rowOff>
    </xdr:from>
    <xdr:to>
      <xdr:col>9</xdr:col>
      <xdr:colOff>69615</xdr:colOff>
      <xdr:row>9</xdr:row>
      <xdr:rowOff>31750</xdr:rowOff>
    </xdr:to>
    <xdr:pic>
      <xdr:nvPicPr>
        <xdr:cNvPr id="10" name="Picture 2" descr="Image">
          <a:extLst>
            <a:ext uri="{FF2B5EF4-FFF2-40B4-BE49-F238E27FC236}">
              <a16:creationId xmlns:a16="http://schemas.microsoft.com/office/drawing/2014/main" id="{81DE11CA-88A3-E50A-40A2-E04703FC4C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54" t="3534" r="12009" b="48017"/>
        <a:stretch/>
      </xdr:blipFill>
      <xdr:spPr bwMode="auto">
        <a:xfrm>
          <a:off x="4747260" y="830580"/>
          <a:ext cx="233934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120648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7334408-E034-8F89-35D7-204CCEC844D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13</xdr:row>
      <xdr:rowOff>0</xdr:rowOff>
    </xdr:from>
    <xdr:ext cx="304800" cy="304800"/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D86D525C-E7D8-E25D-8938-D4913816510E}"/>
            </a:ext>
          </a:extLst>
        </xdr:cNvPr>
        <xdr:cNvSpPr>
          <a:spLocks noChangeAspect="1" noChangeArrowheads="1"/>
        </xdr:cNvSpPr>
      </xdr:nvSpPr>
      <xdr:spPr bwMode="auto">
        <a:xfrm>
          <a:off x="746760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0480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37779449-7BAA-37D2-1E39-A7F6AD2063C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99C1FE7-C628-AC0C-B025-52EEC69B3C90}"/>
            </a:ext>
          </a:extLst>
        </xdr:cNvPr>
        <xdr:cNvSpPr>
          <a:spLocks noChangeAspect="1" noChangeArrowheads="1"/>
        </xdr:cNvSpPr>
      </xdr:nvSpPr>
      <xdr:spPr bwMode="auto">
        <a:xfrm>
          <a:off x="746760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500610</xdr:colOff>
      <xdr:row>0</xdr:row>
      <xdr:rowOff>0</xdr:rowOff>
    </xdr:from>
    <xdr:to>
      <xdr:col>26</xdr:col>
      <xdr:colOff>442907</xdr:colOff>
      <xdr:row>22</xdr:row>
      <xdr:rowOff>95170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336949-5AF7-23C1-4AC7-2F662EE97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1565" y="0"/>
          <a:ext cx="10298569" cy="43034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1FE64-CDE2-4BDF-9955-12838AB1F9EF}" name="Table2" displayName="Table2" ref="M4:N7" totalsRowShown="0">
  <autoFilter ref="M4:N7" xr:uid="{B401FE64-CDE2-4BDF-9955-12838AB1F9EF}">
    <filterColumn colId="0" hiddenButton="1"/>
    <filterColumn colId="1" hiddenButton="1"/>
  </autoFilter>
  <tableColumns count="2">
    <tableColumn id="1" xr3:uid="{3E4322A2-9B7C-4239-8B8A-121A4A04AB75}" name="Variable"/>
    <tableColumn id="2" xr3:uid="{B2498D77-3893-4702-85E3-03695000C2F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86C0D-5650-43DA-BE08-E2DD3D854485}" name="Table1" displayName="Table1" ref="D2:I3" totalsRowShown="0" headerRowDxfId="7" dataDxfId="6">
  <autoFilter ref="D2:I3" xr:uid="{3A286C0D-5650-43DA-BE08-E2DD3D8544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349CD9A-4F28-4AE2-8380-CB69404F4A8F}" name="CENTI" dataDxfId="5">
      <calculatedColumnFormula>POWER(10,-2)</calculatedColumnFormula>
    </tableColumn>
    <tableColumn id="2" xr3:uid="{413607B9-87AF-4EF5-B2D9-B938AA5EFBE5}" name="MILLI" dataDxfId="4">
      <calculatedColumnFormula>POWER(10,-3)</calculatedColumnFormula>
    </tableColumn>
    <tableColumn id="3" xr3:uid="{6AC356CD-817C-4C89-836D-C8B6B132F54A}" name="MICRO" dataDxfId="3">
      <calculatedColumnFormula>POWER(10,-6)</calculatedColumnFormula>
    </tableColumn>
    <tableColumn id="4" xr3:uid="{7215E8AB-8122-435F-B0E0-95DF9BF3955F}" name="MEGA" dataDxfId="2">
      <calculatedColumnFormula>POWER(10,6)</calculatedColumnFormula>
    </tableColumn>
    <tableColumn id="5" xr3:uid="{7F6446F3-5CDA-4922-9C65-DA424F3BC870}" name="NANO" dataDxfId="1">
      <calculatedColumnFormula>POWER(10,-9)</calculatedColumnFormula>
    </tableColumn>
    <tableColumn id="6" xr3:uid="{861B8D53-3335-470E-8B48-7AC95CFAD11B}" name="PICO" dataDxfId="0">
      <calculatedColumnFormula>POWER(10,-12)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Normal="100" workbookViewId="0">
      <selection activeCell="B16" sqref="B16"/>
    </sheetView>
  </sheetViews>
  <sheetFormatPr defaultRowHeight="14.4" x14ac:dyDescent="0.3"/>
  <cols>
    <col min="1" max="1" width="25.5546875" bestFit="1" customWidth="1"/>
    <col min="2" max="2" width="10.44140625" customWidth="1"/>
    <col min="4" max="4" width="11.88671875" bestFit="1" customWidth="1"/>
    <col min="5" max="5" width="12.88671875" customWidth="1"/>
    <col min="6" max="7" width="9" bestFit="1" customWidth="1"/>
    <col min="8" max="8" width="12.109375" bestFit="1" customWidth="1"/>
    <col min="9" max="9" width="9" bestFit="1" customWidth="1"/>
    <col min="13" max="13" width="9.88671875" customWidth="1"/>
    <col min="14" max="14" width="9" bestFit="1" customWidth="1"/>
  </cols>
  <sheetData>
    <row r="1" spans="1:14" x14ac:dyDescent="0.3">
      <c r="L1" t="s">
        <v>26</v>
      </c>
      <c r="M1" s="7" t="s">
        <v>34</v>
      </c>
    </row>
    <row r="2" spans="1:14" x14ac:dyDescent="0.3">
      <c r="A2" s="5" t="s">
        <v>41</v>
      </c>
      <c r="D2" s="9" t="s">
        <v>45</v>
      </c>
      <c r="E2" s="9" t="s">
        <v>47</v>
      </c>
      <c r="F2" s="9" t="s">
        <v>46</v>
      </c>
      <c r="G2" s="9" t="s">
        <v>18</v>
      </c>
      <c r="H2" s="9" t="s">
        <v>19</v>
      </c>
      <c r="I2" s="9" t="s">
        <v>20</v>
      </c>
    </row>
    <row r="3" spans="1:14" x14ac:dyDescent="0.3">
      <c r="A3" s="5" t="s">
        <v>0</v>
      </c>
      <c r="B3" s="3">
        <v>13.56</v>
      </c>
      <c r="C3" t="s">
        <v>7</v>
      </c>
      <c r="D3" s="9">
        <f>POWER(10,-2)</f>
        <v>0.01</v>
      </c>
      <c r="E3" s="9">
        <f>POWER(10,-3)</f>
        <v>1E-3</v>
      </c>
      <c r="F3" s="9">
        <f>POWER(10,-6)</f>
        <v>9.9999999999999995E-7</v>
      </c>
      <c r="G3" s="9">
        <f>POWER(10,6)</f>
        <v>1000000</v>
      </c>
      <c r="H3" s="9">
        <f>POWER(10,-9)</f>
        <v>1.0000000000000001E-9</v>
      </c>
      <c r="I3" s="9">
        <f>POWER(10,-12)</f>
        <v>9.9999999999999998E-13</v>
      </c>
      <c r="L3" t="s">
        <v>35</v>
      </c>
    </row>
    <row r="4" spans="1:14" x14ac:dyDescent="0.3">
      <c r="A4" s="5" t="s">
        <v>1</v>
      </c>
      <c r="B4" s="3">
        <v>20</v>
      </c>
      <c r="C4" t="s">
        <v>8</v>
      </c>
      <c r="M4" t="s">
        <v>22</v>
      </c>
      <c r="N4" t="s">
        <v>23</v>
      </c>
    </row>
    <row r="5" spans="1:14" x14ac:dyDescent="0.3">
      <c r="A5" s="5" t="s">
        <v>3</v>
      </c>
      <c r="B5" s="3">
        <v>20</v>
      </c>
      <c r="M5" t="s">
        <v>21</v>
      </c>
    </row>
    <row r="6" spans="1:14" x14ac:dyDescent="0.3">
      <c r="A6" s="5" t="s">
        <v>44</v>
      </c>
      <c r="B6" s="3">
        <v>40</v>
      </c>
      <c r="C6" t="s">
        <v>48</v>
      </c>
      <c r="M6" t="s">
        <v>24</v>
      </c>
    </row>
    <row r="7" spans="1:14" x14ac:dyDescent="0.3">
      <c r="A7" s="5" t="s">
        <v>2</v>
      </c>
      <c r="B7" s="3" t="s">
        <v>49</v>
      </c>
      <c r="C7" t="s">
        <v>48</v>
      </c>
      <c r="M7" t="s">
        <v>25</v>
      </c>
    </row>
    <row r="8" spans="1:14" x14ac:dyDescent="0.3">
      <c r="A8" s="5" t="s">
        <v>39</v>
      </c>
      <c r="B8" s="3">
        <f>500 * F3/E3</f>
        <v>0.5</v>
      </c>
      <c r="C8" t="s">
        <v>48</v>
      </c>
    </row>
    <row r="9" spans="1:14" x14ac:dyDescent="0.3">
      <c r="A9" s="5" t="s">
        <v>40</v>
      </c>
      <c r="B9" s="3">
        <f>500*F3/E3</f>
        <v>0.5</v>
      </c>
      <c r="C9" t="s">
        <v>48</v>
      </c>
    </row>
    <row r="10" spans="1:14" x14ac:dyDescent="0.3">
      <c r="A10" s="5" t="s">
        <v>10</v>
      </c>
      <c r="B10">
        <f>B3*G3*2*PI()</f>
        <v>85199992.765355185</v>
      </c>
      <c r="C10" s="8"/>
    </row>
    <row r="11" spans="1:14" x14ac:dyDescent="0.3">
      <c r="A11" s="5" t="s">
        <v>36</v>
      </c>
      <c r="B11" s="3">
        <v>4</v>
      </c>
      <c r="C11" s="4"/>
    </row>
    <row r="12" spans="1:14" x14ac:dyDescent="0.3">
      <c r="A12" s="5" t="s">
        <v>57</v>
      </c>
      <c r="B12" s="3">
        <f>(47-B6)/(47+40)</f>
        <v>8.0459770114942528E-2</v>
      </c>
      <c r="C12" s="10" t="s">
        <v>48</v>
      </c>
    </row>
    <row r="13" spans="1:14" x14ac:dyDescent="0.3">
      <c r="A13" s="5" t="s">
        <v>56</v>
      </c>
      <c r="B13" s="3">
        <f>(B6 +B6+7)/2</f>
        <v>43.5</v>
      </c>
      <c r="C13" s="10" t="s">
        <v>48</v>
      </c>
    </row>
    <row r="14" spans="1:14" x14ac:dyDescent="0.3">
      <c r="A14" s="5" t="s">
        <v>55</v>
      </c>
      <c r="B14" s="3">
        <f>1.257*POWER(10,-6)</f>
        <v>1.2569999999999998E-6</v>
      </c>
      <c r="C14" s="4"/>
    </row>
    <row r="15" spans="1:14" ht="15.6" x14ac:dyDescent="0.3">
      <c r="A15" s="5" t="s">
        <v>37</v>
      </c>
      <c r="B15" s="3" cm="1">
        <f t="array" ref="B15">B22*B14*POWER(B11,2)*((B13*Table1[MILLI])/(1+B23*B12*Table1[MILLI]))</f>
        <v>2.0467476076845062E-6</v>
      </c>
      <c r="C15">
        <v>2.0499999999999998</v>
      </c>
      <c r="D15" t="s">
        <v>58</v>
      </c>
      <c r="E15" s="14"/>
      <c r="F15" t="s">
        <v>63</v>
      </c>
    </row>
    <row r="16" spans="1:14" x14ac:dyDescent="0.3">
      <c r="A16" s="5" t="s">
        <v>64</v>
      </c>
      <c r="B16" s="12" cm="1">
        <f t="array" ref="B16">B25*B21*Table1[MILLI]/B24</f>
        <v>0.71609142857142871</v>
      </c>
      <c r="C16" s="4"/>
    </row>
    <row r="17" spans="1:14" x14ac:dyDescent="0.3">
      <c r="A17" s="5" t="s">
        <v>38</v>
      </c>
      <c r="B17" s="3" cm="1">
        <f t="array" ref="B17">1/(POWER(2*PI()*B3*Table1[MEGA],2)*B15)</f>
        <v>6.730643573780932E-11</v>
      </c>
      <c r="C17">
        <v>0.67300000000000004</v>
      </c>
      <c r="D17" t="s">
        <v>65</v>
      </c>
      <c r="E17" s="3"/>
      <c r="L17" t="s">
        <v>27</v>
      </c>
      <c r="M17" s="3" t="s">
        <v>28</v>
      </c>
      <c r="N17" t="e">
        <f>N5/(N6-N5) * (N7 + (N6 * SQRT((N6/N5) + (N7^2)/(N5*N6) - 1)))</f>
        <v>#DIV/0!</v>
      </c>
    </row>
    <row r="18" spans="1:14" x14ac:dyDescent="0.3">
      <c r="A18" s="5" t="s">
        <v>50</v>
      </c>
      <c r="B18" s="3" cm="1">
        <f t="array" ref="B18">1.256629*Table1[MICRO]</f>
        <v>1.2566289999999999E-6</v>
      </c>
      <c r="C18" s="4"/>
      <c r="M18" s="3"/>
    </row>
    <row r="19" spans="1:14" x14ac:dyDescent="0.3">
      <c r="A19" s="5" t="s">
        <v>43</v>
      </c>
      <c r="B19" s="3">
        <f>B8*B21</f>
        <v>354</v>
      </c>
      <c r="C19" s="11" t="s">
        <v>52</v>
      </c>
      <c r="M19" s="3"/>
    </row>
    <row r="20" spans="1:14" x14ac:dyDescent="0.3">
      <c r="A20" s="5" t="s">
        <v>51</v>
      </c>
      <c r="B20" s="3">
        <v>0.5</v>
      </c>
      <c r="C20" s="10" t="s">
        <v>48</v>
      </c>
      <c r="M20" s="3"/>
    </row>
    <row r="21" spans="1:14" x14ac:dyDescent="0.3">
      <c r="A21" s="5" t="s">
        <v>42</v>
      </c>
      <c r="B21">
        <v>708</v>
      </c>
      <c r="C21" t="s">
        <v>48</v>
      </c>
      <c r="M21" s="3"/>
    </row>
    <row r="22" spans="1:14" x14ac:dyDescent="0.3">
      <c r="A22" s="5" t="s">
        <v>53</v>
      </c>
      <c r="B22">
        <v>2.34</v>
      </c>
      <c r="M22" s="3"/>
    </row>
    <row r="23" spans="1:14" x14ac:dyDescent="0.3">
      <c r="A23" s="5" t="s">
        <v>54</v>
      </c>
      <c r="B23" s="3">
        <v>2.75</v>
      </c>
      <c r="C23" s="10"/>
      <c r="M23" s="3"/>
    </row>
    <row r="24" spans="1:14" x14ac:dyDescent="0.3">
      <c r="A24" s="5" t="s">
        <v>59</v>
      </c>
      <c r="B24" s="3">
        <f>0.000035*0.0005</f>
        <v>1.7499999999999998E-8</v>
      </c>
      <c r="C24" t="s">
        <v>60</v>
      </c>
      <c r="M24" s="3"/>
    </row>
    <row r="25" spans="1:14" x14ac:dyDescent="0.3">
      <c r="A25" s="5" t="s">
        <v>61</v>
      </c>
      <c r="B25" s="12">
        <v>1.77E-8</v>
      </c>
      <c r="C25" t="s">
        <v>62</v>
      </c>
    </row>
    <row r="26" spans="1:14" x14ac:dyDescent="0.3">
      <c r="A26" s="13"/>
      <c r="B26" s="12"/>
      <c r="E26">
        <f>B10*H3*B30</f>
        <v>40.043996599716934</v>
      </c>
    </row>
    <row r="28" spans="1:14" x14ac:dyDescent="0.3">
      <c r="A28" s="1" t="s">
        <v>13</v>
      </c>
      <c r="M28" t="s">
        <v>29</v>
      </c>
      <c r="N28">
        <f>-N29-N30*(((N31^2)+(N32^2)+(N32*N30))/((N31^2)+(N32+N30)^2))</f>
        <v>-1.6</v>
      </c>
    </row>
    <row r="29" spans="1:14" x14ac:dyDescent="0.3">
      <c r="A29" s="1" t="s">
        <v>17</v>
      </c>
      <c r="B29">
        <f xml:space="preserve"> (1/(2*PI()*SQRT(B33*H3*B30*I3)))*POWER(10,-6)</f>
        <v>20.847806146332005</v>
      </c>
      <c r="C29" t="s">
        <v>7</v>
      </c>
      <c r="M29" t="s">
        <v>30</v>
      </c>
      <c r="N29">
        <v>1</v>
      </c>
    </row>
    <row r="30" spans="1:14" x14ac:dyDescent="0.3">
      <c r="A30" s="2" t="s">
        <v>4</v>
      </c>
      <c r="B30">
        <v>470</v>
      </c>
      <c r="C30" t="s">
        <v>9</v>
      </c>
      <c r="M30" t="s">
        <v>31</v>
      </c>
      <c r="N30">
        <v>1</v>
      </c>
    </row>
    <row r="31" spans="1:14" x14ac:dyDescent="0.3">
      <c r="A31" s="2" t="s">
        <v>5</v>
      </c>
      <c r="B31">
        <v>68</v>
      </c>
      <c r="C31" t="s">
        <v>11</v>
      </c>
      <c r="M31" t="s">
        <v>32</v>
      </c>
      <c r="N31">
        <v>1</v>
      </c>
    </row>
    <row r="32" spans="1:14" x14ac:dyDescent="0.3">
      <c r="A32" s="2" t="s">
        <v>6</v>
      </c>
      <c r="B32">
        <v>56</v>
      </c>
      <c r="C32" t="s">
        <v>11</v>
      </c>
      <c r="M32" t="s">
        <v>33</v>
      </c>
      <c r="N32">
        <v>1</v>
      </c>
    </row>
    <row r="33" spans="1:3" x14ac:dyDescent="0.3">
      <c r="A33" s="1" t="s">
        <v>12</v>
      </c>
      <c r="B33">
        <f>SUM(B31+B32)</f>
        <v>124</v>
      </c>
      <c r="C33" t="s">
        <v>11</v>
      </c>
    </row>
    <row r="34" spans="1:3" x14ac:dyDescent="0.3">
      <c r="A34" s="1"/>
    </row>
    <row r="35" spans="1:3" x14ac:dyDescent="0.3">
      <c r="A35" s="1"/>
    </row>
    <row r="36" spans="1:3" x14ac:dyDescent="0.3">
      <c r="A36" s="6" t="s">
        <v>14</v>
      </c>
    </row>
    <row r="37" spans="1:3" x14ac:dyDescent="0.3">
      <c r="A37" s="6"/>
    </row>
    <row r="38" spans="1:3" x14ac:dyDescent="0.3">
      <c r="A38" s="6" t="s">
        <v>15</v>
      </c>
      <c r="B38">
        <v>58.9</v>
      </c>
      <c r="C38" t="s">
        <v>11</v>
      </c>
    </row>
    <row r="39" spans="1:3" x14ac:dyDescent="0.3">
      <c r="A39" s="6" t="s">
        <v>16</v>
      </c>
      <c r="B39">
        <v>134.6</v>
      </c>
      <c r="C39" t="s">
        <v>11</v>
      </c>
    </row>
    <row r="40" spans="1:3" x14ac:dyDescent="0.3">
      <c r="A40" s="6"/>
    </row>
    <row r="41" spans="1:3" x14ac:dyDescent="0.3">
      <c r="A41" s="6"/>
    </row>
    <row r="42" spans="1:3" x14ac:dyDescent="0.3">
      <c r="A42" s="6"/>
    </row>
    <row r="43" spans="1:3" x14ac:dyDescent="0.3">
      <c r="A43" s="6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B55663F355D47920DEDC822DB46B8" ma:contentTypeVersion="15" ma:contentTypeDescription="Create a new document." ma:contentTypeScope="" ma:versionID="a814b9742158cb30613be92de4799c31">
  <xsd:schema xmlns:xsd="http://www.w3.org/2001/XMLSchema" xmlns:xs="http://www.w3.org/2001/XMLSchema" xmlns:p="http://schemas.microsoft.com/office/2006/metadata/properties" xmlns:ns3="b1ab3771-1d28-4c23-a38e-5dceefe440e2" xmlns:ns4="fc8d8fe1-da5d-4aa1-8144-e472507257df" targetNamespace="http://schemas.microsoft.com/office/2006/metadata/properties" ma:root="true" ma:fieldsID="06e33389d9bda49a8b5c500c3ef13c62" ns3:_="" ns4:_="">
    <xsd:import namespace="b1ab3771-1d28-4c23-a38e-5dceefe440e2"/>
    <xsd:import namespace="fc8d8fe1-da5d-4aa1-8144-e472507257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b3771-1d28-4c23-a38e-5dceefe44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d8fe1-da5d-4aa1-8144-e472507257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ab3771-1d28-4c23-a38e-5dceefe440e2" xsi:nil="true"/>
  </documentManagement>
</p:properties>
</file>

<file path=customXml/itemProps1.xml><?xml version="1.0" encoding="utf-8"?>
<ds:datastoreItem xmlns:ds="http://schemas.openxmlformats.org/officeDocument/2006/customXml" ds:itemID="{3B8897A4-9E3B-4F5B-8E75-CD05B0498D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1D94E-C4F8-4673-A325-314C13665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b3771-1d28-4c23-a38e-5dceefe440e2"/>
    <ds:schemaRef ds:uri="fc8d8fe1-da5d-4aa1-8144-e472507257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453B53-34DC-4C1B-AAE0-4ABE5661A111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b1ab3771-1d28-4c23-a38e-5dceefe440e2"/>
    <ds:schemaRef ds:uri="http://schemas.openxmlformats.org/package/2006/metadata/core-properties"/>
    <ds:schemaRef ds:uri="fc8d8fe1-da5d-4aa1-8144-e472507257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Sabin, Joaquin</cp:lastModifiedBy>
  <dcterms:created xsi:type="dcterms:W3CDTF">2015-06-05T18:17:20Z</dcterms:created>
  <dcterms:modified xsi:type="dcterms:W3CDTF">2024-05-01T15:50:16Z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0x010100394B55663F355D47920DEDC822DB46B8</vt:lpwstr>
  </property>
</Properties>
</file>