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azlan/"/>
    </mc:Choice>
  </mc:AlternateContent>
  <xr:revisionPtr revIDLastSave="0" documentId="13_ncr:1_{2C3740E1-D135-B940-BE0F-5A73BBCFF98F}" xr6:coauthVersionLast="47" xr6:coauthVersionMax="47" xr10:uidLastSave="{00000000-0000-0000-0000-000000000000}"/>
  <bookViews>
    <workbookView xWindow="0" yWindow="500" windowWidth="28800" windowHeight="16320" xr2:uid="{FD5271E0-9E09-C840-9711-317235341524}"/>
  </bookViews>
  <sheets>
    <sheet name="DCF" sheetId="1" r:id="rId1"/>
    <sheet name="EBIT and CAPEX" sheetId="4" r:id="rId2"/>
    <sheet name="CFS" sheetId="5" r:id="rId3"/>
    <sheet name="WACC" sheetId="2" r:id="rId4"/>
    <sheet name="TOTAL DEBT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D44" i="2"/>
  <c r="E14" i="2" l="1"/>
  <c r="E12" i="2"/>
  <c r="D37" i="2"/>
  <c r="E17" i="2"/>
  <c r="D28" i="2"/>
  <c r="K90" i="1"/>
  <c r="E7" i="2"/>
  <c r="K91" i="1"/>
  <c r="C40" i="5"/>
  <c r="AF3" i="1"/>
  <c r="AK3" i="1"/>
  <c r="AJ3" i="1"/>
  <c r="AI3" i="1"/>
  <c r="AH3" i="1"/>
  <c r="AG3" i="1"/>
  <c r="H66" i="1"/>
  <c r="I66" i="1"/>
  <c r="J66" i="1"/>
  <c r="K66" i="1"/>
  <c r="H70" i="1"/>
  <c r="I70" i="1"/>
  <c r="J70" i="1"/>
  <c r="K70" i="1"/>
  <c r="H82" i="1"/>
  <c r="I82" i="1"/>
  <c r="J82" i="1"/>
  <c r="K82" i="1"/>
  <c r="G82" i="1"/>
  <c r="G69" i="1" l="1"/>
  <c r="H73" i="1"/>
  <c r="I73" i="1" s="1"/>
  <c r="J73" i="1" s="1"/>
  <c r="K73" i="1" s="1"/>
  <c r="H69" i="1"/>
  <c r="I69" i="1"/>
  <c r="J69" i="1" s="1"/>
  <c r="K69" i="1" s="1"/>
  <c r="H65" i="1"/>
  <c r="I65" i="1" s="1"/>
  <c r="J65" i="1" s="1"/>
  <c r="K65" i="1" s="1"/>
  <c r="G73" i="1"/>
  <c r="G65" i="1"/>
  <c r="F73" i="1"/>
  <c r="E73" i="1"/>
  <c r="D73" i="1"/>
  <c r="C73" i="1"/>
  <c r="G50" i="1"/>
  <c r="B73" i="1"/>
  <c r="G59" i="1"/>
  <c r="H58" i="1"/>
  <c r="I58" i="1"/>
  <c r="J58" i="1"/>
  <c r="K58" i="1"/>
  <c r="G58" i="1"/>
  <c r="G19" i="1"/>
  <c r="C59" i="1"/>
  <c r="D59" i="1"/>
  <c r="E59" i="1"/>
  <c r="F59" i="1"/>
  <c r="B59" i="1"/>
  <c r="C58" i="1"/>
  <c r="D58" i="1"/>
  <c r="E58" i="1"/>
  <c r="F58" i="1"/>
  <c r="B58" i="1"/>
  <c r="G55" i="1"/>
  <c r="H54" i="1"/>
  <c r="I54" i="1"/>
  <c r="J54" i="1"/>
  <c r="K54" i="1"/>
  <c r="G54" i="1"/>
  <c r="G12" i="1"/>
  <c r="C55" i="1"/>
  <c r="D55" i="1"/>
  <c r="E55" i="1"/>
  <c r="F55" i="1"/>
  <c r="B55" i="1"/>
  <c r="C54" i="1"/>
  <c r="D54" i="1"/>
  <c r="E54" i="1"/>
  <c r="F54" i="1"/>
  <c r="B54" i="1"/>
  <c r="G5" i="1"/>
  <c r="C50" i="1"/>
  <c r="D50" i="1"/>
  <c r="E50" i="1"/>
  <c r="F50" i="1"/>
  <c r="H40" i="1"/>
  <c r="I40" i="1"/>
  <c r="J40" i="1"/>
  <c r="K40" i="1"/>
  <c r="G40" i="1"/>
  <c r="B41" i="1"/>
  <c r="C40" i="1"/>
  <c r="D40" i="1"/>
  <c r="E40" i="1"/>
  <c r="F40" i="1"/>
  <c r="B40" i="1" l="1"/>
  <c r="D16" i="5"/>
  <c r="E16" i="5"/>
  <c r="F16" i="5"/>
  <c r="G16" i="5"/>
  <c r="D14" i="5"/>
  <c r="E14" i="5"/>
  <c r="F14" i="5"/>
  <c r="G14" i="5"/>
  <c r="D12" i="5"/>
  <c r="E12" i="5"/>
  <c r="F12" i="5"/>
  <c r="G12" i="5"/>
  <c r="C16" i="5"/>
  <c r="C14" i="5"/>
  <c r="C12" i="5"/>
  <c r="D10" i="5"/>
  <c r="E10" i="5"/>
  <c r="F10" i="5"/>
  <c r="G10" i="5"/>
  <c r="C10" i="5"/>
  <c r="C6" i="5"/>
  <c r="D8" i="5"/>
  <c r="E8" i="5"/>
  <c r="F8" i="5"/>
  <c r="G8" i="5"/>
  <c r="D38" i="5"/>
  <c r="E38" i="5"/>
  <c r="F38" i="5"/>
  <c r="G38" i="5"/>
  <c r="C38" i="5"/>
  <c r="H20" i="1"/>
  <c r="I20" i="1"/>
  <c r="J20" i="1"/>
  <c r="K20" i="1"/>
  <c r="G20" i="1"/>
  <c r="C20" i="1"/>
  <c r="D20" i="1"/>
  <c r="E20" i="1"/>
  <c r="F20" i="1"/>
  <c r="B20" i="1"/>
  <c r="C37" i="5"/>
  <c r="D37" i="5"/>
  <c r="E37" i="5"/>
  <c r="F37" i="5"/>
  <c r="G37" i="5"/>
  <c r="B37" i="5"/>
  <c r="C36" i="5"/>
  <c r="D36" i="5"/>
  <c r="E36" i="5"/>
  <c r="F36" i="5"/>
  <c r="G36" i="5"/>
  <c r="B36" i="5"/>
  <c r="C35" i="5"/>
  <c r="D35" i="5"/>
  <c r="E35" i="5"/>
  <c r="F35" i="5"/>
  <c r="G35" i="5"/>
  <c r="B35" i="5"/>
  <c r="C30" i="5"/>
  <c r="D30" i="5"/>
  <c r="E30" i="5"/>
  <c r="F30" i="5"/>
  <c r="G30" i="5"/>
  <c r="B30" i="5"/>
  <c r="C19" i="5"/>
  <c r="C34" i="5" s="1"/>
  <c r="D19" i="5"/>
  <c r="D34" i="5" s="1"/>
  <c r="E19" i="5"/>
  <c r="E34" i="5" s="1"/>
  <c r="F19" i="5"/>
  <c r="F34" i="5" s="1"/>
  <c r="G19" i="5"/>
  <c r="G34" i="5" s="1"/>
  <c r="B19" i="5"/>
  <c r="B34" i="5" s="1"/>
  <c r="E4" i="5"/>
  <c r="F4" i="5"/>
  <c r="G4" i="5"/>
  <c r="D4" i="5"/>
  <c r="C4" i="5"/>
  <c r="G6" i="5"/>
  <c r="F6" i="5"/>
  <c r="E6" i="5"/>
  <c r="D6" i="5"/>
  <c r="C35" i="1" l="1"/>
  <c r="D35" i="1"/>
  <c r="E35" i="1"/>
  <c r="F35" i="1"/>
  <c r="G35" i="1"/>
  <c r="H35" i="1"/>
  <c r="I35" i="1"/>
  <c r="J35" i="1"/>
  <c r="K35" i="1"/>
  <c r="G13" i="1"/>
  <c r="C13" i="1"/>
  <c r="D13" i="1"/>
  <c r="E13" i="1"/>
  <c r="F13" i="1"/>
  <c r="B13" i="1"/>
  <c r="K34" i="1" l="1"/>
  <c r="J34" i="1"/>
  <c r="I34" i="1"/>
  <c r="H34" i="1"/>
  <c r="G34" i="1"/>
  <c r="A36" i="1"/>
  <c r="B50" i="1"/>
  <c r="C27" i="4"/>
  <c r="D27" i="4"/>
  <c r="E27" i="4"/>
  <c r="F27" i="4"/>
  <c r="B27" i="4"/>
  <c r="B25" i="4"/>
  <c r="B31" i="4" s="1"/>
  <c r="F25" i="4"/>
  <c r="F31" i="4" s="1"/>
  <c r="E25" i="4"/>
  <c r="E31" i="4" s="1"/>
  <c r="C25" i="4"/>
  <c r="C31" i="4" s="1"/>
  <c r="D25" i="4"/>
  <c r="D31" i="4" s="1"/>
  <c r="H28" i="1"/>
  <c r="I28" i="1" s="1"/>
  <c r="J28" i="1" s="1"/>
  <c r="K28" i="1" s="1"/>
  <c r="G28" i="1"/>
  <c r="E31" i="1"/>
  <c r="C30" i="1"/>
  <c r="D30" i="1"/>
  <c r="E30" i="1"/>
  <c r="F30" i="1"/>
  <c r="C17" i="1"/>
  <c r="H12" i="1" s="1"/>
  <c r="AB5" i="1"/>
  <c r="AB7" i="1"/>
  <c r="AB8" i="1"/>
  <c r="AB9" i="1"/>
  <c r="AB10" i="1"/>
  <c r="AB14" i="1"/>
  <c r="AB4" i="1"/>
  <c r="Y14" i="1"/>
  <c r="Z14" i="1"/>
  <c r="AA14" i="1"/>
  <c r="Y10" i="1"/>
  <c r="Z10" i="1"/>
  <c r="AA10" i="1"/>
  <c r="Y9" i="1"/>
  <c r="Z9" i="1"/>
  <c r="AA9" i="1"/>
  <c r="Y8" i="1"/>
  <c r="Z8" i="1"/>
  <c r="AA8" i="1"/>
  <c r="Y7" i="1"/>
  <c r="Z7" i="1"/>
  <c r="AA7" i="1"/>
  <c r="Y5" i="1"/>
  <c r="Z5" i="1"/>
  <c r="AA5" i="1"/>
  <c r="X7" i="1"/>
  <c r="X8" i="1"/>
  <c r="X9" i="1"/>
  <c r="X10" i="1"/>
  <c r="X14" i="1"/>
  <c r="X5" i="1"/>
  <c r="Y4" i="1"/>
  <c r="Z4" i="1"/>
  <c r="AA4" i="1"/>
  <c r="X4" i="1"/>
  <c r="C24" i="1"/>
  <c r="C17" i="4"/>
  <c r="D17" i="4"/>
  <c r="E17" i="4"/>
  <c r="E19" i="4" s="1"/>
  <c r="F17" i="4"/>
  <c r="B17" i="4"/>
  <c r="C10" i="4"/>
  <c r="D10" i="4"/>
  <c r="E10" i="4"/>
  <c r="F10" i="4"/>
  <c r="B10" i="4"/>
  <c r="O21" i="1"/>
  <c r="P21" i="1"/>
  <c r="Q21" i="1"/>
  <c r="R21" i="1"/>
  <c r="S21" i="1"/>
  <c r="T21" i="1"/>
  <c r="U21" i="1"/>
  <c r="V21" i="1"/>
  <c r="W21" i="1"/>
  <c r="N21" i="1"/>
  <c r="C8" i="1"/>
  <c r="H5" i="1" s="1"/>
  <c r="H6" i="1" s="1"/>
  <c r="Q22" i="1"/>
  <c r="R22" i="1"/>
  <c r="I12" i="1" l="1"/>
  <c r="H13" i="1"/>
  <c r="D19" i="4"/>
  <c r="B19" i="4"/>
  <c r="C19" i="4"/>
  <c r="F19" i="4"/>
  <c r="G6" i="1"/>
  <c r="C74" i="1"/>
  <c r="D74" i="1"/>
  <c r="E74" i="1"/>
  <c r="F74" i="1"/>
  <c r="B74" i="1"/>
  <c r="C70" i="1"/>
  <c r="D70" i="1"/>
  <c r="E70" i="1"/>
  <c r="F70" i="1"/>
  <c r="G70" i="1"/>
  <c r="B70" i="1"/>
  <c r="C66" i="1"/>
  <c r="D66" i="1"/>
  <c r="E66" i="1"/>
  <c r="F66" i="1"/>
  <c r="G66" i="1"/>
  <c r="B66" i="1"/>
  <c r="G51" i="1"/>
  <c r="F51" i="1"/>
  <c r="E51" i="1"/>
  <c r="D51" i="1"/>
  <c r="C51" i="1"/>
  <c r="C41" i="1"/>
  <c r="D41" i="1"/>
  <c r="E41" i="1"/>
  <c r="F41" i="1"/>
  <c r="G41" i="1"/>
  <c r="E19" i="2"/>
  <c r="E13" i="2" s="1"/>
  <c r="B35" i="1"/>
  <c r="B31" i="1"/>
  <c r="C29" i="1"/>
  <c r="D29" i="1"/>
  <c r="E29" i="1"/>
  <c r="F29" i="1"/>
  <c r="G29" i="1"/>
  <c r="B29" i="1"/>
  <c r="H50" i="1"/>
  <c r="H55" i="1" l="1"/>
  <c r="H59" i="1"/>
  <c r="J12" i="1"/>
  <c r="I13" i="1"/>
  <c r="K62" i="1"/>
  <c r="I50" i="1"/>
  <c r="H51" i="1"/>
  <c r="H62" i="1"/>
  <c r="J62" i="1"/>
  <c r="I62" i="1"/>
  <c r="E8" i="2"/>
  <c r="E21" i="2" s="1"/>
  <c r="H19" i="1"/>
  <c r="I19" i="1" s="1"/>
  <c r="J19" i="1" s="1"/>
  <c r="K19" i="1" s="1"/>
  <c r="D6" i="1"/>
  <c r="E6" i="1"/>
  <c r="F6" i="1"/>
  <c r="C6" i="1"/>
  <c r="I59" i="1" l="1"/>
  <c r="I55" i="1"/>
  <c r="K12" i="1"/>
  <c r="K13" i="1" s="1"/>
  <c r="J13" i="1"/>
  <c r="D8" i="1"/>
  <c r="I8" i="1" s="1"/>
  <c r="I9" i="1" s="1"/>
  <c r="H41" i="1"/>
  <c r="I51" i="1"/>
  <c r="J50" i="1"/>
  <c r="J55" i="1" l="1"/>
  <c r="J59" i="1"/>
  <c r="H8" i="1"/>
  <c r="H9" i="1" s="1"/>
  <c r="G8" i="1"/>
  <c r="G9" i="1" s="1"/>
  <c r="J51" i="1"/>
  <c r="K50" i="1"/>
  <c r="H29" i="1"/>
  <c r="B32" i="1"/>
  <c r="I5" i="1"/>
  <c r="K51" i="1" l="1"/>
  <c r="K59" i="1"/>
  <c r="K55" i="1"/>
  <c r="I41" i="1"/>
  <c r="J8" i="1"/>
  <c r="J9" i="1" s="1"/>
  <c r="I29" i="1"/>
  <c r="J5" i="1"/>
  <c r="I6" i="1"/>
  <c r="J41" i="1" l="1"/>
  <c r="K8" i="1"/>
  <c r="K9" i="1" s="1"/>
  <c r="J29" i="1"/>
  <c r="J6" i="1"/>
  <c r="K5" i="1"/>
  <c r="K41" i="1" l="1"/>
  <c r="K6" i="1"/>
  <c r="K29" i="1"/>
  <c r="H74" i="1"/>
  <c r="J74" i="1"/>
  <c r="I74" i="1"/>
  <c r="G74" i="1"/>
  <c r="K74" i="1"/>
</calcChain>
</file>

<file path=xl/sharedStrings.xml><?xml version="1.0" encoding="utf-8"?>
<sst xmlns="http://schemas.openxmlformats.org/spreadsheetml/2006/main" count="202" uniqueCount="165">
  <si>
    <t>Projection</t>
  </si>
  <si>
    <t>Year</t>
  </si>
  <si>
    <t>Revenue</t>
  </si>
  <si>
    <t>-</t>
  </si>
  <si>
    <t>CAGR</t>
  </si>
  <si>
    <t>((ending_value / beginning_value)^1/n) - 1</t>
  </si>
  <si>
    <t xml:space="preserve">Revenue Growth Rate </t>
  </si>
  <si>
    <t>9/30/2019</t>
  </si>
  <si>
    <t>9/30/2020</t>
  </si>
  <si>
    <t>9/30/2021</t>
  </si>
  <si>
    <t>9/30/2022</t>
  </si>
  <si>
    <t>9/30/2023</t>
  </si>
  <si>
    <t>TTM 2nd quarter 2024</t>
  </si>
  <si>
    <t>WACC</t>
  </si>
  <si>
    <t>Beta</t>
  </si>
  <si>
    <t>Income Statement</t>
  </si>
  <si>
    <t>EBIT</t>
  </si>
  <si>
    <t>EBIT %</t>
  </si>
  <si>
    <t>TAXES</t>
  </si>
  <si>
    <t>% of EBIT</t>
  </si>
  <si>
    <t>Growth Rate</t>
  </si>
  <si>
    <t xml:space="preserve">Implied Share Price : </t>
  </si>
  <si>
    <t>Cash Flow Items</t>
  </si>
  <si>
    <t>D &amp; A</t>
  </si>
  <si>
    <t>% of Sales</t>
  </si>
  <si>
    <t>Std Dev</t>
  </si>
  <si>
    <t>CapEx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</si>
  <si>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</si>
  <si>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</si>
  <si>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</si>
  <si>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</si>
  <si>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</si>
  <si>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</si>
  <si>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Equity Value</t>
  </si>
  <si>
    <t>% Equity</t>
  </si>
  <si>
    <t>Risk Free Rate</t>
  </si>
  <si>
    <t>Market Risk Premium</t>
  </si>
  <si>
    <t>Debt + Equity</t>
  </si>
  <si>
    <t>Change in NWC</t>
  </si>
  <si>
    <t>https://www.linkedin.com/advice/1/what-best-practices-forecasting-capex-dcf-analysis</t>
  </si>
  <si>
    <t>Discounted Cash Flow</t>
  </si>
  <si>
    <t>EBIAT</t>
  </si>
  <si>
    <t>D&amp;A</t>
  </si>
  <si>
    <t>% of sales</t>
  </si>
  <si>
    <t>Margin %</t>
  </si>
  <si>
    <t>total</t>
  </si>
  <si>
    <t>GAMUDA</t>
  </si>
  <si>
    <t> revenue</t>
  </si>
  <si>
    <t xml:space="preserve">Share Price : </t>
  </si>
  <si>
    <t>Average revenue growth 2019 to 2023</t>
  </si>
  <si>
    <t>option 2</t>
  </si>
  <si>
    <t>COGS</t>
  </si>
  <si>
    <t>engineering and construction</t>
  </si>
  <si>
    <t>property development and club operations</t>
  </si>
  <si>
    <t>Highways</t>
  </si>
  <si>
    <t>reported total</t>
  </si>
  <si>
    <t>engineering and construction percentage</t>
  </si>
  <si>
    <t>property and developnent and club operations</t>
  </si>
  <si>
    <t>highways</t>
  </si>
  <si>
    <t>construction contract costs recognized as contract expenses</t>
  </si>
  <si>
    <t>land and development costs</t>
  </si>
  <si>
    <t>changes in inventory of finished goods and work in progress</t>
  </si>
  <si>
    <t>purchases raw and trading materials</t>
  </si>
  <si>
    <t>production overheads</t>
  </si>
  <si>
    <t>Total cogs</t>
  </si>
  <si>
    <t>Total Revenue</t>
  </si>
  <si>
    <t>Operating Expenses</t>
  </si>
  <si>
    <t>Depreciation &amp; Amortization</t>
  </si>
  <si>
    <t>Trading of construction materials</t>
  </si>
  <si>
    <t xml:space="preserve">Sales of manufactured products </t>
  </si>
  <si>
    <t>Quarry sales</t>
  </si>
  <si>
    <t xml:space="preserve">Supply of water and related services </t>
  </si>
  <si>
    <t>Dividend income from subsidiaries</t>
  </si>
  <si>
    <t xml:space="preserve">Dividend income from associated companies </t>
  </si>
  <si>
    <t>Dividend income from joint ventures</t>
  </si>
  <si>
    <t xml:space="preserve">Others </t>
  </si>
  <si>
    <t>concession revenue</t>
  </si>
  <si>
    <t>concession revenue discontinued</t>
  </si>
  <si>
    <t>REVENUE BY SEGMENT</t>
  </si>
  <si>
    <t>highway toll (discontinued)</t>
  </si>
  <si>
    <t>other operating expenses</t>
  </si>
  <si>
    <t>staff costs</t>
  </si>
  <si>
    <t>reversel of doubtful debts</t>
  </si>
  <si>
    <t>TOTAL</t>
  </si>
  <si>
    <t>AVG%</t>
  </si>
  <si>
    <t>2020-2019</t>
  </si>
  <si>
    <t>2021-2020</t>
  </si>
  <si>
    <t>2022-2021</t>
  </si>
  <si>
    <t>2023-2022</t>
  </si>
  <si>
    <t>Depreciation %</t>
  </si>
  <si>
    <t>Growth Rate Average</t>
  </si>
  <si>
    <t>PP&amp;E</t>
  </si>
  <si>
    <t>Property Plant and Equipment</t>
  </si>
  <si>
    <t>CAPEX</t>
  </si>
  <si>
    <t>net increase / decrease</t>
  </si>
  <si>
    <t>depreciation expense</t>
  </si>
  <si>
    <t>Changes in operating assets and liabilities</t>
  </si>
  <si>
    <t>inventories</t>
  </si>
  <si>
    <t>accounts receiveable, net and other</t>
  </si>
  <si>
    <t>inventories changes</t>
  </si>
  <si>
    <t>accounts receiveable, net and other changes</t>
  </si>
  <si>
    <t>contract assets</t>
  </si>
  <si>
    <t>tax recoverable</t>
  </si>
  <si>
    <t>investment securities</t>
  </si>
  <si>
    <t>cash and bank balance</t>
  </si>
  <si>
    <t>short term islamic debts</t>
  </si>
  <si>
    <t>short term conventional debts</t>
  </si>
  <si>
    <t>payables</t>
  </si>
  <si>
    <t>contract liabilities</t>
  </si>
  <si>
    <t>provision for liabilities</t>
  </si>
  <si>
    <t>tax payable</t>
  </si>
  <si>
    <t>current assets RM '000</t>
  </si>
  <si>
    <t>current liabilities RM '000</t>
  </si>
  <si>
    <t>Short term Borrowing</t>
  </si>
  <si>
    <t>Property Development Costs</t>
  </si>
  <si>
    <t>TOTAL CURRENT ASSETS</t>
  </si>
  <si>
    <t>TOTAL CURRENT LIABILITIES</t>
  </si>
  <si>
    <t>CURRENT ASSET WITHOUT CASH</t>
  </si>
  <si>
    <t>CURRENT LIABILITIES WITHOUT DEBT</t>
  </si>
  <si>
    <t>CURRENT ASSETS - CURRENT LIABILITIES (LEVERED)</t>
  </si>
  <si>
    <t>CHANGES IN NWC</t>
  </si>
  <si>
    <t>000 Adjusted</t>
  </si>
  <si>
    <t>CURRENT ASSETS - CURRENT LIABILITES (UNLEVERED)</t>
  </si>
  <si>
    <t>% Growth</t>
  </si>
  <si>
    <t>Growth %</t>
  </si>
  <si>
    <t>Terminal Value</t>
  </si>
  <si>
    <t>Present Value of Terminal Value</t>
  </si>
  <si>
    <t>Enterprise Value</t>
  </si>
  <si>
    <t>+cash</t>
  </si>
  <si>
    <t>-debt</t>
  </si>
  <si>
    <t>Shares</t>
  </si>
  <si>
    <t>Share Price</t>
  </si>
  <si>
    <t>enc</t>
  </si>
  <si>
    <t>pd&amp;co</t>
  </si>
  <si>
    <t>trading of con</t>
  </si>
  <si>
    <t>querry sales</t>
  </si>
  <si>
    <t>supply of water and related services</t>
  </si>
  <si>
    <t>Others</t>
  </si>
  <si>
    <t>average deviation</t>
  </si>
  <si>
    <t>Percentage</t>
  </si>
  <si>
    <t>Total Debt 2023</t>
  </si>
  <si>
    <t>Present Value FCF (inclusion of WACC)</t>
  </si>
  <si>
    <t>CAPM</t>
  </si>
  <si>
    <t>Expected Return</t>
  </si>
  <si>
    <t xml:space="preserve">Expected Return (Ri) = Rf + Bi x ( Rm - Rf) </t>
  </si>
  <si>
    <t>Rm</t>
  </si>
  <si>
    <t>beta (Bi)</t>
  </si>
  <si>
    <t>Rf (Malaysia 10Y Bond)</t>
  </si>
  <si>
    <t>Market Premium</t>
  </si>
  <si>
    <t>%</t>
  </si>
  <si>
    <t>market_risk_premium = (average_market_return * 100) - (risk_free_rate * 100)</t>
  </si>
  <si>
    <t>Outstanding Shares</t>
  </si>
  <si>
    <t>ç</t>
  </si>
  <si>
    <t>Cost of Equity (Expected Return)</t>
  </si>
  <si>
    <t>Debt Weighted Average</t>
  </si>
  <si>
    <t>MTNs</t>
  </si>
  <si>
    <t>Commercial Papers</t>
  </si>
  <si>
    <t>Revolving Credit</t>
  </si>
  <si>
    <t>Average Weighted Debt</t>
  </si>
  <si>
    <t>Current Liabilities</t>
  </si>
  <si>
    <t>Long-Term Islamic Debt</t>
  </si>
  <si>
    <t>Long-Term Conventional Debt</t>
  </si>
  <si>
    <t>Short Term Islamic Debts</t>
  </si>
  <si>
    <t>Short Term Conventional Debts</t>
  </si>
  <si>
    <t>After Tax 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</si>
</sst>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RM&quot;* #,##0_);_(&quot;RM&quot;* \(#,##0\);_(&quot;RM&quot;* &quot;-&quot;??_);_(@_)"/>
    <numFmt numFmtId="167" formatCode="&quot;RM&quot;#,##0.00"/>
    <numFmt numFmtId="168" formatCode="&quot;RM&quot;#,##0"/>
    <numFmt numFmtId="169" formatCode="0.000%"/>
    <numFmt numFmtId="170" formatCode="0.0000"/>
    <numFmt numFmtId="171" formatCode="0.00000%"/>
  </numFmts>
  <fonts count="6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i/>
      <sz val="18"/>
      <color theme="0"/>
      <name val="Aptos Narrow"/>
      <scheme val="minor"/>
    </font>
    <font>
      <b/>
      <i/>
      <sz val="12"/>
      <color theme="5" tint="-0.249977111117893"/>
      <name val="Aptos Narrow"/>
      <scheme val="minor"/>
    </font>
    <font>
      <b/>
      <sz val="14"/>
      <color theme="1"/>
      <name val="Aptos Narrow"/>
      <scheme val="minor"/>
    </font>
    <font>
      <b/>
      <sz val="14"/>
      <color theme="6" tint="-0.249977111117893"/>
      <name val="Aptos Narrow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4"/>
      <color theme="8" tint="-0.249977111117893"/>
      <name val="Aptos Narrow"/>
      <scheme val="minor"/>
    </font>
    <font>
      <b/>
      <i/>
      <sz val="14"/>
      <color theme="1"/>
      <name val="Aptos Narrow"/>
      <scheme val="minor"/>
    </font>
    <font>
      <b/>
      <sz val="14"/>
      <color theme="6"/>
      <name val="Aptos Narrow"/>
      <scheme val="minor"/>
    </font>
    <font>
      <b/>
      <sz val="12"/>
      <color theme="6"/>
      <name val="Aptos Narrow"/>
      <scheme val="minor"/>
    </font>
    <font>
      <sz val="10"/>
      <color rgb="FF000000"/>
      <name val="Helvetica Neue"/>
      <family val="2"/>
    </font>
    <font>
      <b/>
      <i/>
      <sz val="14"/>
      <color theme="6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3F3F3F"/>
      <name val="Aptos Narrow"/>
      <scheme val="minor"/>
    </font>
    <font>
      <b/>
      <sz val="14"/>
      <color rgb="FF565654"/>
      <name val="Aptos Narrow"/>
      <scheme val="minor"/>
    </font>
    <font>
      <b/>
      <sz val="14"/>
      <color rgb="FF4C4C4F"/>
      <name val="Aptos Narrow"/>
      <scheme val="minor"/>
    </font>
    <font>
      <b/>
      <sz val="14"/>
      <color theme="1"/>
      <name val="Aptos Narrow"/>
      <family val="2"/>
      <scheme val="minor"/>
    </font>
    <font>
      <sz val="14"/>
      <color rgb="FF0D084D"/>
      <name val="Aptos Display"/>
      <scheme val="major"/>
    </font>
    <font>
      <sz val="14"/>
      <color theme="1"/>
      <name val="Aptos Display"/>
      <scheme val="major"/>
    </font>
    <font>
      <sz val="14"/>
      <color rgb="FF565654"/>
      <name val="Aptos Display"/>
      <scheme val="major"/>
    </font>
    <font>
      <sz val="14"/>
      <color rgb="FF4C4C4F"/>
      <name val="Aptos Display"/>
      <scheme val="major"/>
    </font>
    <font>
      <sz val="12"/>
      <color rgb="FF000000"/>
      <name val="Aptos Narrow"/>
      <family val="2"/>
      <scheme val="minor"/>
    </font>
    <font>
      <sz val="14"/>
      <color rgb="FF3F3F3F"/>
      <name val="Aptos Display"/>
      <scheme val="major"/>
    </font>
    <font>
      <b/>
      <sz val="14"/>
      <color rgb="FF0D084D"/>
      <name val="Aptos Display"/>
      <scheme val="major"/>
    </font>
    <font>
      <sz val="14"/>
      <color theme="6" tint="0.59999389629810485"/>
      <name val="Aptos Display"/>
      <scheme val="major"/>
    </font>
    <font>
      <b/>
      <i/>
      <sz val="14"/>
      <color rgb="FF0D084D"/>
      <name val="Aptos Display"/>
      <scheme val="major"/>
    </font>
    <font>
      <b/>
      <i/>
      <sz val="14"/>
      <color theme="1"/>
      <name val="Aptos Display"/>
      <scheme val="major"/>
    </font>
    <font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4"/>
      <color rgb="FFFF0000"/>
      <name val="Aptos Narrow"/>
      <scheme val="minor"/>
    </font>
    <font>
      <b/>
      <sz val="14"/>
      <color rgb="FFFF0000"/>
      <name val="MuseoSans"/>
    </font>
    <font>
      <b/>
      <i/>
      <sz val="14"/>
      <color rgb="FFFF0000"/>
      <name val="Aptos Narrow"/>
      <scheme val="minor"/>
    </font>
    <font>
      <sz val="10"/>
      <color rgb="FF3F3F3F"/>
      <name val="DIN"/>
    </font>
    <font>
      <sz val="9"/>
      <color rgb="FF565654"/>
      <name val="MuseoSans"/>
    </font>
    <font>
      <sz val="9"/>
      <color rgb="FF4C4C4F"/>
      <name val="MuseoSans"/>
    </font>
    <font>
      <b/>
      <sz val="9"/>
      <color rgb="FF4C4C4F"/>
      <name val="MuseoSans"/>
    </font>
    <font>
      <sz val="12"/>
      <color theme="1"/>
      <name val="Aptos Narrow"/>
      <scheme val="minor"/>
    </font>
    <font>
      <b/>
      <sz val="10"/>
      <color rgb="FF4C4C4F"/>
      <name val="MuseoSans"/>
    </font>
    <font>
      <b/>
      <sz val="10"/>
      <color rgb="FF565654"/>
      <name val="MuseoSans"/>
    </font>
    <font>
      <b/>
      <sz val="12"/>
      <color theme="1"/>
      <name val="MuseoSans"/>
    </font>
    <font>
      <i/>
      <sz val="12"/>
      <color theme="1"/>
      <name val="Aptos Narrow"/>
      <scheme val="minor"/>
    </font>
    <font>
      <i/>
      <sz val="12"/>
      <color theme="1" tint="0.499984740745262"/>
      <name val="Aptos Narrow"/>
      <scheme val="minor"/>
    </font>
    <font>
      <i/>
      <sz val="12"/>
      <color theme="1" tint="0.499984740745262"/>
      <name val="MuseoSans"/>
    </font>
    <font>
      <b/>
      <sz val="12"/>
      <color theme="3" tint="9.9978637043366805E-2"/>
      <name val="Aptos Narrow"/>
      <scheme val="minor"/>
    </font>
    <font>
      <b/>
      <i/>
      <sz val="12"/>
      <color theme="3" tint="9.9978637043366805E-2"/>
      <name val="Aptos Narrow"/>
      <scheme val="minor"/>
    </font>
    <font>
      <sz val="16"/>
      <color rgb="FFFF0000"/>
      <name val="Aptos Narrow"/>
      <family val="2"/>
      <scheme val="minor"/>
    </font>
    <font>
      <sz val="16"/>
      <color theme="6" tint="0.39997558519241921"/>
      <name val="Aptos Narrow"/>
      <family val="2"/>
      <scheme val="minor"/>
    </font>
    <font>
      <b/>
      <i/>
      <sz val="18"/>
      <color theme="1"/>
      <name val="Aptos Narrow"/>
      <scheme val="minor"/>
    </font>
    <font>
      <sz val="14"/>
      <color theme="6" tint="0.59999389629810485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i/>
      <u val="singleAccounting"/>
      <sz val="10"/>
      <color rgb="FF000000"/>
      <name val="Helvetica Neue"/>
      <family val="2"/>
    </font>
    <font>
      <sz val="16"/>
      <color theme="1"/>
      <name val="Aptos Narrow"/>
      <scheme val="minor"/>
    </font>
    <font>
      <b/>
      <sz val="12"/>
      <color theme="0"/>
      <name val="Aptos Narrow"/>
      <scheme val="minor"/>
    </font>
    <font>
      <sz val="16"/>
      <color theme="0"/>
      <name val="Aptos Narrow"/>
      <scheme val="minor"/>
    </font>
    <font>
      <b/>
      <sz val="16"/>
      <color theme="0"/>
      <name val="Aptos Narrow"/>
      <scheme val="minor"/>
    </font>
    <font>
      <b/>
      <sz val="10"/>
      <color rgb="FF000000"/>
      <name val="Aptos Display"/>
      <scheme val="major"/>
    </font>
    <font>
      <b/>
      <sz val="12"/>
      <color rgb="FF212529"/>
      <name val="Helvetica Neue"/>
      <family val="2"/>
    </font>
    <font>
      <b/>
      <sz val="14"/>
      <color theme="0"/>
      <name val="Aptos Narrow"/>
      <scheme val="minor"/>
    </font>
    <font>
      <sz val="12"/>
      <color theme="0"/>
      <name val="Aptos Narrow"/>
      <scheme val="minor"/>
    </font>
    <font>
      <b/>
      <i/>
      <sz val="12"/>
      <color theme="0"/>
      <name val="Aptos Narrow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36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19" xfId="0" applyBorder="1"/>
    <xf numFmtId="0" fontId="2" fillId="2" borderId="0" xfId="0" applyFont="1" applyFill="1" applyAlignment="1">
      <alignment horizontal="left"/>
    </xf>
    <xf numFmtId="10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19" xfId="0" applyFill="1" applyBorder="1"/>
    <xf numFmtId="0" fontId="0" fillId="2" borderId="16" xfId="0" applyFill="1" applyBorder="1"/>
    <xf numFmtId="0" fontId="2" fillId="2" borderId="0" xfId="0" applyFont="1" applyFill="1" applyAlignment="1">
      <alignment horizontal="center"/>
    </xf>
    <xf numFmtId="0" fontId="0" fillId="2" borderId="18" xfId="0" applyFill="1" applyBorder="1"/>
    <xf numFmtId="0" fontId="0" fillId="2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2" fillId="6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0" fillId="2" borderId="19" xfId="0" applyNumberFormat="1" applyFill="1" applyBorder="1" applyAlignment="1">
      <alignment horizontal="center"/>
    </xf>
    <xf numFmtId="10" fontId="5" fillId="6" borderId="4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3" fillId="7" borderId="10" xfId="0" applyFont="1" applyFill="1" applyBorder="1"/>
    <xf numFmtId="0" fontId="0" fillId="8" borderId="0" xfId="0" applyFill="1"/>
    <xf numFmtId="0" fontId="0" fillId="8" borderId="19" xfId="0" applyFill="1" applyBorder="1"/>
    <xf numFmtId="0" fontId="0" fillId="6" borderId="22" xfId="0" applyFill="1" applyBorder="1"/>
    <xf numFmtId="0" fontId="0" fillId="6" borderId="4" xfId="0" applyFill="1" applyBorder="1"/>
    <xf numFmtId="0" fontId="6" fillId="0" borderId="14" xfId="0" applyFont="1" applyBorder="1" applyAlignment="1">
      <alignment horizontal="center"/>
    </xf>
    <xf numFmtId="164" fontId="7" fillId="0" borderId="14" xfId="1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10" fontId="6" fillId="0" borderId="13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7" fillId="0" borderId="13" xfId="1" applyNumberFormat="1" applyFont="1" applyBorder="1"/>
    <xf numFmtId="10" fontId="6" fillId="0" borderId="13" xfId="1" applyNumberFormat="1" applyFont="1" applyBorder="1"/>
    <xf numFmtId="9" fontId="6" fillId="0" borderId="13" xfId="2" applyFont="1" applyBorder="1" applyAlignment="1">
      <alignment horizontal="center"/>
    </xf>
    <xf numFmtId="43" fontId="2" fillId="6" borderId="23" xfId="1" applyFont="1" applyFill="1" applyBorder="1"/>
    <xf numFmtId="0" fontId="0" fillId="0" borderId="24" xfId="0" applyBorder="1"/>
    <xf numFmtId="0" fontId="0" fillId="2" borderId="24" xfId="0" applyFill="1" applyBorder="1"/>
    <xf numFmtId="0" fontId="0" fillId="2" borderId="27" xfId="0" applyFill="1" applyBorder="1"/>
    <xf numFmtId="0" fontId="11" fillId="2" borderId="5" xfId="0" applyFont="1" applyFill="1" applyBorder="1" applyAlignment="1">
      <alignment horizontal="center"/>
    </xf>
    <xf numFmtId="0" fontId="0" fillId="2" borderId="6" xfId="0" applyFill="1" applyBorder="1"/>
    <xf numFmtId="164" fontId="12" fillId="0" borderId="14" xfId="1" applyNumberFormat="1" applyFont="1" applyBorder="1" applyAlignment="1">
      <alignment horizontal="center"/>
    </xf>
    <xf numFmtId="164" fontId="12" fillId="0" borderId="13" xfId="1" applyNumberFormat="1" applyFont="1" applyBorder="1"/>
    <xf numFmtId="164" fontId="6" fillId="2" borderId="28" xfId="0" applyNumberFormat="1" applyFont="1" applyFill="1" applyBorder="1"/>
    <xf numFmtId="164" fontId="6" fillId="2" borderId="29" xfId="0" applyNumberFormat="1" applyFont="1" applyFill="1" applyBorder="1"/>
    <xf numFmtId="164" fontId="6" fillId="2" borderId="30" xfId="0" applyNumberFormat="1" applyFont="1" applyFill="1" applyBorder="1"/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0" fontId="0" fillId="2" borderId="13" xfId="0" applyNumberFormat="1" applyFill="1" applyBorder="1"/>
    <xf numFmtId="9" fontId="6" fillId="0" borderId="17" xfId="2" applyFont="1" applyBorder="1" applyAlignment="1">
      <alignment horizontal="center"/>
    </xf>
    <xf numFmtId="10" fontId="0" fillId="2" borderId="17" xfId="0" applyNumberFormat="1" applyFill="1" applyBorder="1"/>
    <xf numFmtId="0" fontId="0" fillId="2" borderId="19" xfId="0" applyFill="1" applyBorder="1" applyAlignment="1">
      <alignment horizontal="center"/>
    </xf>
    <xf numFmtId="0" fontId="0" fillId="2" borderId="9" xfId="0" applyFill="1" applyBorder="1"/>
    <xf numFmtId="10" fontId="6" fillId="0" borderId="25" xfId="0" applyNumberFormat="1" applyFont="1" applyBorder="1" applyAlignment="1">
      <alignment horizontal="center"/>
    </xf>
    <xf numFmtId="0" fontId="0" fillId="2" borderId="33" xfId="0" applyFill="1" applyBorder="1"/>
    <xf numFmtId="0" fontId="0" fillId="2" borderId="32" xfId="0" applyFill="1" applyBorder="1"/>
    <xf numFmtId="10" fontId="0" fillId="2" borderId="33" xfId="0" applyNumberFormat="1" applyFill="1" applyBorder="1" applyAlignment="1">
      <alignment horizontal="center"/>
    </xf>
    <xf numFmtId="10" fontId="0" fillId="2" borderId="32" xfId="0" applyNumberFormat="1" applyFill="1" applyBorder="1" applyAlignment="1">
      <alignment horizontal="center"/>
    </xf>
    <xf numFmtId="0" fontId="0" fillId="0" borderId="32" xfId="0" applyBorder="1"/>
    <xf numFmtId="0" fontId="0" fillId="8" borderId="34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10" fontId="6" fillId="2" borderId="0" xfId="0" applyNumberFormat="1" applyFont="1" applyFill="1" applyAlignment="1">
      <alignment horizontal="center"/>
    </xf>
    <xf numFmtId="10" fontId="6" fillId="2" borderId="19" xfId="0" applyNumberFormat="1" applyFont="1" applyFill="1" applyBorder="1" applyAlignment="1">
      <alignment horizontal="center"/>
    </xf>
    <xf numFmtId="10" fontId="6" fillId="2" borderId="33" xfId="0" applyNumberFormat="1" applyFont="1" applyFill="1" applyBorder="1" applyAlignment="1">
      <alignment horizontal="center"/>
    </xf>
    <xf numFmtId="10" fontId="6" fillId="0" borderId="17" xfId="0" applyNumberFormat="1" applyFont="1" applyBorder="1" applyAlignment="1">
      <alignment vertical="center"/>
    </xf>
    <xf numFmtId="10" fontId="6" fillId="0" borderId="13" xfId="0" applyNumberFormat="1" applyFont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9" xfId="0" applyFill="1" applyBorder="1" applyAlignment="1">
      <alignment vertical="center"/>
    </xf>
    <xf numFmtId="166" fontId="17" fillId="11" borderId="21" xfId="3" applyNumberFormat="1" applyFont="1" applyFill="1" applyBorder="1" applyAlignment="1"/>
    <xf numFmtId="44" fontId="17" fillId="11" borderId="21" xfId="3" applyFont="1" applyFill="1" applyBorder="1" applyAlignment="1"/>
    <xf numFmtId="44" fontId="17" fillId="11" borderId="37" xfId="3" applyFont="1" applyFill="1" applyBorder="1" applyAlignment="1"/>
    <xf numFmtId="0" fontId="19" fillId="0" borderId="0" xfId="0" applyFont="1"/>
    <xf numFmtId="167" fontId="17" fillId="6" borderId="23" xfId="0" applyNumberFormat="1" applyFont="1" applyFill="1" applyBorder="1"/>
    <xf numFmtId="167" fontId="17" fillId="6" borderId="38" xfId="0" applyNumberFormat="1" applyFont="1" applyFill="1" applyBorder="1"/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1" xfId="1" applyNumberFormat="1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 vertical="center"/>
    </xf>
    <xf numFmtId="168" fontId="20" fillId="0" borderId="13" xfId="0" applyNumberFormat="1" applyFont="1" applyBorder="1" applyAlignment="1">
      <alignment horizontal="center" vertical="center"/>
    </xf>
    <xf numFmtId="168" fontId="6" fillId="2" borderId="13" xfId="0" applyNumberFormat="1" applyFont="1" applyFill="1" applyBorder="1" applyAlignment="1">
      <alignment horizontal="center" vertical="center"/>
    </xf>
    <xf numFmtId="168" fontId="13" fillId="2" borderId="13" xfId="3" applyNumberFormat="1" applyFont="1" applyFill="1" applyBorder="1" applyAlignment="1">
      <alignment horizontal="center" vertical="center"/>
    </xf>
    <xf numFmtId="168" fontId="21" fillId="0" borderId="13" xfId="0" applyNumberFormat="1" applyFont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/>
    </xf>
    <xf numFmtId="168" fontId="6" fillId="12" borderId="13" xfId="1" applyNumberFormat="1" applyFont="1" applyFill="1" applyBorder="1" applyAlignment="1">
      <alignment horizontal="center" vertical="center"/>
    </xf>
    <xf numFmtId="168" fontId="6" fillId="12" borderId="13" xfId="0" applyNumberFormat="1" applyFont="1" applyFill="1" applyBorder="1" applyAlignment="1">
      <alignment horizontal="center" vertical="center"/>
    </xf>
    <xf numFmtId="168" fontId="13" fillId="12" borderId="13" xfId="3" applyNumberFormat="1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center"/>
    </xf>
    <xf numFmtId="0" fontId="22" fillId="0" borderId="39" xfId="0" applyFont="1" applyBorder="1"/>
    <xf numFmtId="168" fontId="22" fillId="0" borderId="13" xfId="0" applyNumberFormat="1" applyFont="1" applyBorder="1" applyAlignment="1">
      <alignment horizontal="center" vertical="center"/>
    </xf>
    <xf numFmtId="168" fontId="6" fillId="2" borderId="13" xfId="3" applyNumberFormat="1" applyFont="1" applyFill="1" applyBorder="1" applyAlignment="1">
      <alignment horizontal="center" vertical="center"/>
    </xf>
    <xf numFmtId="0" fontId="6" fillId="2" borderId="39" xfId="0" applyFont="1" applyFill="1" applyBorder="1"/>
    <xf numFmtId="0" fontId="6" fillId="12" borderId="22" xfId="0" applyFont="1" applyFill="1" applyBorder="1"/>
    <xf numFmtId="168" fontId="6" fillId="12" borderId="23" xfId="0" applyNumberFormat="1" applyFont="1" applyFill="1" applyBorder="1"/>
    <xf numFmtId="168" fontId="22" fillId="12" borderId="23" xfId="0" applyNumberFormat="1" applyFont="1" applyFill="1" applyBorder="1"/>
    <xf numFmtId="168" fontId="21" fillId="12" borderId="23" xfId="0" applyNumberFormat="1" applyFont="1" applyFill="1" applyBorder="1"/>
    <xf numFmtId="0" fontId="6" fillId="14" borderId="23" xfId="0" applyFont="1" applyFill="1" applyBorder="1"/>
    <xf numFmtId="0" fontId="18" fillId="2" borderId="0" xfId="0" applyFont="1" applyFill="1"/>
    <xf numFmtId="0" fontId="18" fillId="0" borderId="0" xfId="0" applyFont="1"/>
    <xf numFmtId="0" fontId="23" fillId="2" borderId="20" xfId="0" applyFont="1" applyFill="1" applyBorder="1"/>
    <xf numFmtId="0" fontId="23" fillId="2" borderId="22" xfId="0" applyFont="1" applyFill="1" applyBorder="1"/>
    <xf numFmtId="0" fontId="18" fillId="2" borderId="10" xfId="0" applyFont="1" applyFill="1" applyBorder="1"/>
    <xf numFmtId="0" fontId="24" fillId="0" borderId="13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3" fontId="26" fillId="0" borderId="13" xfId="0" applyNumberFormat="1" applyFont="1" applyBorder="1" applyAlignment="1">
      <alignment horizontal="left" vertical="top"/>
    </xf>
    <xf numFmtId="3" fontId="27" fillId="0" borderId="13" xfId="0" applyNumberFormat="1" applyFont="1" applyBorder="1" applyAlignment="1">
      <alignment horizontal="left" vertical="top"/>
    </xf>
    <xf numFmtId="3" fontId="25" fillId="0" borderId="13" xfId="0" applyNumberFormat="1" applyFont="1" applyBorder="1" applyAlignment="1">
      <alignment horizontal="left" vertical="top"/>
    </xf>
    <xf numFmtId="3" fontId="29" fillId="0" borderId="13" xfId="0" applyNumberFormat="1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3" fontId="31" fillId="4" borderId="13" xfId="0" applyNumberFormat="1" applyFont="1" applyFill="1" applyBorder="1" applyAlignment="1">
      <alignment horizontal="left" vertical="top"/>
    </xf>
    <xf numFmtId="164" fontId="31" fillId="4" borderId="13" xfId="1" applyNumberFormat="1" applyFont="1" applyFill="1" applyBorder="1" applyAlignment="1">
      <alignment horizontal="left" vertical="top"/>
    </xf>
    <xf numFmtId="0" fontId="25" fillId="15" borderId="13" xfId="0" applyFont="1" applyFill="1" applyBorder="1" applyAlignment="1">
      <alignment horizontal="left" vertical="top"/>
    </xf>
    <xf numFmtId="3" fontId="27" fillId="15" borderId="13" xfId="0" applyNumberFormat="1" applyFont="1" applyFill="1" applyBorder="1" applyAlignment="1">
      <alignment horizontal="left" vertical="top"/>
    </xf>
    <xf numFmtId="0" fontId="30" fillId="11" borderId="13" xfId="0" applyFont="1" applyFill="1" applyBorder="1" applyAlignment="1">
      <alignment horizontal="left" vertical="top"/>
    </xf>
    <xf numFmtId="0" fontId="33" fillId="11" borderId="13" xfId="0" applyFont="1" applyFill="1" applyBorder="1" applyAlignment="1">
      <alignment horizontal="left" vertical="top"/>
    </xf>
    <xf numFmtId="0" fontId="33" fillId="16" borderId="13" xfId="0" applyFont="1" applyFill="1" applyBorder="1" applyAlignment="1">
      <alignment horizontal="center" vertical="top"/>
    </xf>
    <xf numFmtId="164" fontId="7" fillId="0" borderId="25" xfId="1" applyNumberFormat="1" applyFont="1" applyBorder="1"/>
    <xf numFmtId="164" fontId="7" fillId="16" borderId="17" xfId="1" applyNumberFormat="1" applyFont="1" applyFill="1" applyBorder="1"/>
    <xf numFmtId="164" fontId="7" fillId="16" borderId="13" xfId="1" applyNumberFormat="1" applyFont="1" applyFill="1" applyBorder="1"/>
    <xf numFmtId="164" fontId="7" fillId="16" borderId="16" xfId="1" applyNumberFormat="1" applyFont="1" applyFill="1" applyBorder="1" applyAlignment="1">
      <alignment vertical="center"/>
    </xf>
    <xf numFmtId="164" fontId="7" fillId="16" borderId="14" xfId="1" applyNumberFormat="1" applyFont="1" applyFill="1" applyBorder="1" applyAlignment="1">
      <alignment vertical="center"/>
    </xf>
    <xf numFmtId="0" fontId="6" fillId="2" borderId="41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42" xfId="0" applyFont="1" applyFill="1" applyBorder="1"/>
    <xf numFmtId="0" fontId="0" fillId="14" borderId="22" xfId="0" applyFill="1" applyBorder="1"/>
    <xf numFmtId="0" fontId="0" fillId="14" borderId="38" xfId="0" applyFill="1" applyBorder="1"/>
    <xf numFmtId="0" fontId="0" fillId="14" borderId="23" xfId="0" applyFill="1" applyBorder="1"/>
    <xf numFmtId="0" fontId="34" fillId="13" borderId="13" xfId="0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/>
    </xf>
    <xf numFmtId="0" fontId="2" fillId="13" borderId="29" xfId="0" applyFont="1" applyFill="1" applyBorder="1" applyAlignment="1">
      <alignment horizontal="center"/>
    </xf>
    <xf numFmtId="0" fontId="2" fillId="13" borderId="30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3" borderId="21" xfId="0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6" fillId="13" borderId="39" xfId="0" applyFont="1" applyFill="1" applyBorder="1" applyAlignment="1">
      <alignment horizontal="center"/>
    </xf>
    <xf numFmtId="0" fontId="6" fillId="13" borderId="43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6" fillId="14" borderId="13" xfId="0" applyFont="1" applyFill="1" applyBorder="1" applyAlignment="1">
      <alignment horizontal="center"/>
    </xf>
    <xf numFmtId="0" fontId="6" fillId="14" borderId="40" xfId="0" applyFont="1" applyFill="1" applyBorder="1" applyAlignment="1">
      <alignment horizontal="center"/>
    </xf>
    <xf numFmtId="0" fontId="6" fillId="13" borderId="13" xfId="0" applyFont="1" applyFill="1" applyBorder="1"/>
    <xf numFmtId="0" fontId="6" fillId="13" borderId="40" xfId="0" applyFont="1" applyFill="1" applyBorder="1"/>
    <xf numFmtId="0" fontId="0" fillId="6" borderId="44" xfId="0" applyFill="1" applyBorder="1"/>
    <xf numFmtId="0" fontId="6" fillId="2" borderId="13" xfId="0" applyFont="1" applyFill="1" applyBorder="1" applyAlignment="1">
      <alignment horizontal="center" vertical="center"/>
    </xf>
    <xf numFmtId="43" fontId="2" fillId="6" borderId="14" xfId="1" applyFont="1" applyFill="1" applyBorder="1"/>
    <xf numFmtId="0" fontId="0" fillId="6" borderId="45" xfId="0" applyFill="1" applyBorder="1"/>
    <xf numFmtId="0" fontId="2" fillId="6" borderId="2" xfId="0" applyFont="1" applyFill="1" applyBorder="1"/>
    <xf numFmtId="43" fontId="0" fillId="6" borderId="4" xfId="0" applyNumberFormat="1" applyFill="1" applyBorder="1"/>
    <xf numFmtId="0" fontId="0" fillId="14" borderId="13" xfId="0" applyFill="1" applyBorder="1"/>
    <xf numFmtId="2" fontId="6" fillId="2" borderId="13" xfId="0" applyNumberFormat="1" applyFont="1" applyFill="1" applyBorder="1" applyAlignment="1">
      <alignment horizontal="center"/>
    </xf>
    <xf numFmtId="0" fontId="35" fillId="17" borderId="13" xfId="0" applyFont="1" applyFill="1" applyBorder="1" applyAlignment="1">
      <alignment horizontal="center"/>
    </xf>
    <xf numFmtId="164" fontId="7" fillId="16" borderId="16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8" fontId="36" fillId="0" borderId="23" xfId="1" applyNumberFormat="1" applyFont="1" applyBorder="1" applyAlignment="1"/>
    <xf numFmtId="168" fontId="37" fillId="0" borderId="23" xfId="0" applyNumberFormat="1" applyFont="1" applyBorder="1"/>
    <xf numFmtId="168" fontId="38" fillId="6" borderId="23" xfId="3" applyNumberFormat="1" applyFont="1" applyFill="1" applyBorder="1" applyAlignment="1"/>
    <xf numFmtId="0" fontId="28" fillId="15" borderId="0" xfId="0" applyFont="1" applyFill="1"/>
    <xf numFmtId="164" fontId="0" fillId="15" borderId="0" xfId="1" applyNumberFormat="1" applyFont="1" applyFill="1"/>
    <xf numFmtId="3" fontId="0" fillId="15" borderId="0" xfId="0" applyNumberFormat="1" applyFill="1"/>
    <xf numFmtId="0" fontId="0" fillId="15" borderId="0" xfId="0" applyFill="1"/>
    <xf numFmtId="43" fontId="0" fillId="15" borderId="0" xfId="1" applyFont="1" applyFill="1"/>
    <xf numFmtId="3" fontId="39" fillId="0" borderId="0" xfId="0" applyNumberFormat="1" applyFont="1"/>
    <xf numFmtId="0" fontId="33" fillId="16" borderId="46" xfId="0" applyFont="1" applyFill="1" applyBorder="1" applyAlignment="1">
      <alignment horizontal="center" vertical="top"/>
    </xf>
    <xf numFmtId="164" fontId="0" fillId="15" borderId="0" xfId="1" applyNumberFormat="1" applyFont="1" applyFill="1" applyBorder="1"/>
    <xf numFmtId="164" fontId="14" fillId="0" borderId="13" xfId="1" applyNumberFormat="1" applyFont="1" applyBorder="1" applyAlignment="1">
      <alignment horizontal="right"/>
    </xf>
    <xf numFmtId="164" fontId="14" fillId="0" borderId="13" xfId="0" applyNumberFormat="1" applyFont="1" applyBorder="1" applyAlignment="1">
      <alignment horizontal="center"/>
    </xf>
    <xf numFmtId="3" fontId="14" fillId="2" borderId="13" xfId="0" applyNumberFormat="1" applyFont="1" applyFill="1" applyBorder="1" applyAlignment="1">
      <alignment horizontal="right" vertical="top"/>
    </xf>
    <xf numFmtId="164" fontId="7" fillId="0" borderId="14" xfId="1" applyNumberFormat="1" applyFont="1" applyBorder="1" applyAlignment="1">
      <alignment horizontal="right"/>
    </xf>
    <xf numFmtId="0" fontId="0" fillId="18" borderId="0" xfId="0" applyFill="1"/>
    <xf numFmtId="0" fontId="0" fillId="19" borderId="0" xfId="0" applyFill="1"/>
    <xf numFmtId="164" fontId="0" fillId="19" borderId="0" xfId="0" applyNumberFormat="1" applyFill="1" applyAlignment="1">
      <alignment horizontal="center"/>
    </xf>
    <xf numFmtId="164" fontId="0" fillId="19" borderId="0" xfId="1" applyNumberFormat="1" applyFont="1" applyFill="1" applyAlignment="1">
      <alignment horizontal="right"/>
    </xf>
    <xf numFmtId="164" fontId="0" fillId="19" borderId="0" xfId="1" applyNumberFormat="1" applyFont="1" applyFill="1"/>
    <xf numFmtId="164" fontId="14" fillId="2" borderId="13" xfId="1" applyNumberFormat="1" applyFont="1" applyFill="1" applyBorder="1"/>
    <xf numFmtId="9" fontId="0" fillId="0" borderId="0" xfId="0" applyNumberFormat="1"/>
    <xf numFmtId="164" fontId="7" fillId="16" borderId="13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0" fillId="9" borderId="0" xfId="0" applyFill="1"/>
    <xf numFmtId="0" fontId="2" fillId="9" borderId="0" xfId="0" applyFont="1" applyFill="1"/>
    <xf numFmtId="0" fontId="0" fillId="13" borderId="5" xfId="0" applyFill="1" applyBorder="1"/>
    <xf numFmtId="0" fontId="0" fillId="13" borderId="6" xfId="0" applyFill="1" applyBorder="1"/>
    <xf numFmtId="0" fontId="0" fillId="21" borderId="6" xfId="0" applyFill="1" applyBorder="1"/>
    <xf numFmtId="0" fontId="2" fillId="21" borderId="5" xfId="0" applyFont="1" applyFill="1" applyBorder="1"/>
    <xf numFmtId="0" fontId="2" fillId="2" borderId="0" xfId="0" applyFont="1" applyFill="1"/>
    <xf numFmtId="0" fontId="3" fillId="21" borderId="11" xfId="0" applyFont="1" applyFill="1" applyBorder="1"/>
    <xf numFmtId="0" fontId="0" fillId="21" borderId="1" xfId="0" applyFill="1" applyBorder="1"/>
    <xf numFmtId="0" fontId="3" fillId="2" borderId="25" xfId="0" applyFont="1" applyFill="1" applyBorder="1"/>
    <xf numFmtId="0" fontId="0" fillId="2" borderId="26" xfId="0" applyFill="1" applyBorder="1"/>
    <xf numFmtId="0" fontId="43" fillId="2" borderId="0" xfId="0" applyFont="1" applyFill="1"/>
    <xf numFmtId="0" fontId="0" fillId="13" borderId="10" xfId="0" applyFill="1" applyBorder="1"/>
    <xf numFmtId="0" fontId="2" fillId="21" borderId="10" xfId="0" applyFont="1" applyFill="1" applyBorder="1"/>
    <xf numFmtId="164" fontId="2" fillId="9" borderId="48" xfId="1" applyNumberFormat="1" applyFont="1" applyFill="1" applyBorder="1"/>
    <xf numFmtId="0" fontId="0" fillId="21" borderId="47" xfId="0" applyFill="1" applyBorder="1"/>
    <xf numFmtId="3" fontId="41" fillId="2" borderId="13" xfId="0" applyNumberFormat="1" applyFont="1" applyFill="1" applyBorder="1"/>
    <xf numFmtId="3" fontId="40" fillId="2" borderId="13" xfId="0" applyNumberFormat="1" applyFont="1" applyFill="1" applyBorder="1"/>
    <xf numFmtId="0" fontId="19" fillId="0" borderId="48" xfId="0" applyFont="1" applyBorder="1"/>
    <xf numFmtId="0" fontId="19" fillId="9" borderId="48" xfId="0" applyFont="1" applyFill="1" applyBorder="1"/>
    <xf numFmtId="0" fontId="19" fillId="2" borderId="31" xfId="0" applyFont="1" applyFill="1" applyBorder="1"/>
    <xf numFmtId="3" fontId="44" fillId="22" borderId="48" xfId="0" applyNumberFormat="1" applyFont="1" applyFill="1" applyBorder="1"/>
    <xf numFmtId="3" fontId="44" fillId="13" borderId="48" xfId="0" applyNumberFormat="1" applyFont="1" applyFill="1" applyBorder="1"/>
    <xf numFmtId="3" fontId="45" fillId="13" borderId="48" xfId="0" applyNumberFormat="1" applyFont="1" applyFill="1" applyBorder="1"/>
    <xf numFmtId="3" fontId="19" fillId="9" borderId="48" xfId="0" applyNumberFormat="1" applyFont="1" applyFill="1" applyBorder="1"/>
    <xf numFmtId="164" fontId="2" fillId="13" borderId="10" xfId="0" applyNumberFormat="1" applyFont="1" applyFill="1" applyBorder="1"/>
    <xf numFmtId="3" fontId="46" fillId="9" borderId="48" xfId="0" applyNumberFormat="1" applyFont="1" applyFill="1" applyBorder="1"/>
    <xf numFmtId="0" fontId="43" fillId="9" borderId="0" xfId="0" applyFont="1" applyFill="1"/>
    <xf numFmtId="3" fontId="2" fillId="13" borderId="10" xfId="0" applyNumberFormat="1" applyFont="1" applyFill="1" applyBorder="1"/>
    <xf numFmtId="3" fontId="42" fillId="0" borderId="48" xfId="0" applyNumberFormat="1" applyFont="1" applyBorder="1"/>
    <xf numFmtId="3" fontId="42" fillId="0" borderId="31" xfId="0" applyNumberFormat="1" applyFont="1" applyBorder="1"/>
    <xf numFmtId="0" fontId="19" fillId="0" borderId="31" xfId="0" applyFont="1" applyBorder="1"/>
    <xf numFmtId="164" fontId="2" fillId="2" borderId="10" xfId="0" applyNumberFormat="1" applyFont="1" applyFill="1" applyBorder="1"/>
    <xf numFmtId="0" fontId="2" fillId="2" borderId="7" xfId="0" applyFont="1" applyFill="1" applyBorder="1"/>
    <xf numFmtId="0" fontId="2" fillId="15" borderId="6" xfId="0" applyFont="1" applyFill="1" applyBorder="1"/>
    <xf numFmtId="0" fontId="2" fillId="15" borderId="10" xfId="0" applyFont="1" applyFill="1" applyBorder="1"/>
    <xf numFmtId="0" fontId="47" fillId="16" borderId="10" xfId="0" applyFont="1" applyFill="1" applyBorder="1"/>
    <xf numFmtId="164" fontId="47" fillId="16" borderId="10" xfId="0" applyNumberFormat="1" applyFont="1" applyFill="1" applyBorder="1"/>
    <xf numFmtId="164" fontId="48" fillId="9" borderId="49" xfId="1" applyNumberFormat="1" applyFont="1" applyFill="1" applyBorder="1"/>
    <xf numFmtId="164" fontId="48" fillId="20" borderId="49" xfId="1" applyNumberFormat="1" applyFont="1" applyFill="1" applyBorder="1"/>
    <xf numFmtId="164" fontId="49" fillId="9" borderId="49" xfId="1" applyNumberFormat="1" applyFont="1" applyFill="1" applyBorder="1"/>
    <xf numFmtId="0" fontId="48" fillId="20" borderId="49" xfId="0" applyFont="1" applyFill="1" applyBorder="1"/>
    <xf numFmtId="0" fontId="48" fillId="9" borderId="49" xfId="0" applyFont="1" applyFill="1" applyBorder="1"/>
    <xf numFmtId="0" fontId="48" fillId="20" borderId="2" xfId="0" applyFont="1" applyFill="1" applyBorder="1"/>
    <xf numFmtId="164" fontId="48" fillId="13" borderId="5" xfId="0" applyNumberFormat="1" applyFont="1" applyFill="1" applyBorder="1"/>
    <xf numFmtId="3" fontId="48" fillId="20" borderId="49" xfId="0" applyNumberFormat="1" applyFont="1" applyFill="1" applyBorder="1"/>
    <xf numFmtId="3" fontId="48" fillId="13" borderId="5" xfId="0" applyNumberFormat="1" applyFont="1" applyFill="1" applyBorder="1"/>
    <xf numFmtId="164" fontId="48" fillId="16" borderId="5" xfId="0" applyNumberFormat="1" applyFont="1" applyFill="1" applyBorder="1"/>
    <xf numFmtId="3" fontId="41" fillId="2" borderId="39" xfId="0" applyNumberFormat="1" applyFont="1" applyFill="1" applyBorder="1"/>
    <xf numFmtId="3" fontId="40" fillId="2" borderId="40" xfId="0" applyNumberFormat="1" applyFont="1" applyFill="1" applyBorder="1"/>
    <xf numFmtId="0" fontId="0" fillId="2" borderId="49" xfId="0" applyFill="1" applyBorder="1"/>
    <xf numFmtId="0" fontId="0" fillId="2" borderId="45" xfId="0" applyFill="1" applyBorder="1"/>
    <xf numFmtId="0" fontId="0" fillId="0" borderId="49" xfId="0" applyBorder="1"/>
    <xf numFmtId="0" fontId="0" fillId="0" borderId="45" xfId="0" applyBorder="1"/>
    <xf numFmtId="0" fontId="50" fillId="21" borderId="11" xfId="0" applyFont="1" applyFill="1" applyBorder="1"/>
    <xf numFmtId="0" fontId="50" fillId="21" borderId="5" xfId="0" applyFont="1" applyFill="1" applyBorder="1"/>
    <xf numFmtId="3" fontId="2" fillId="2" borderId="10" xfId="0" applyNumberFormat="1" applyFont="1" applyFill="1" applyBorder="1"/>
    <xf numFmtId="0" fontId="2" fillId="0" borderId="10" xfId="0" applyFont="1" applyBorder="1"/>
    <xf numFmtId="164" fontId="2" fillId="20" borderId="10" xfId="0" applyNumberFormat="1" applyFont="1" applyFill="1" applyBorder="1"/>
    <xf numFmtId="164" fontId="2" fillId="23" borderId="10" xfId="0" applyNumberFormat="1" applyFont="1" applyFill="1" applyBorder="1"/>
    <xf numFmtId="164" fontId="53" fillId="25" borderId="10" xfId="0" applyNumberFormat="1" applyFont="1" applyFill="1" applyBorder="1" applyAlignment="1">
      <alignment horizontal="left"/>
    </xf>
    <xf numFmtId="164" fontId="52" fillId="25" borderId="10" xfId="0" applyNumberFormat="1" applyFont="1" applyFill="1" applyBorder="1" applyAlignment="1">
      <alignment horizontal="left"/>
    </xf>
    <xf numFmtId="0" fontId="54" fillId="0" borderId="5" xfId="0" applyFont="1" applyBorder="1" applyAlignment="1">
      <alignment horizontal="left"/>
    </xf>
    <xf numFmtId="0" fontId="18" fillId="0" borderId="5" xfId="0" quotePrefix="1" applyFont="1" applyBorder="1"/>
    <xf numFmtId="3" fontId="55" fillId="24" borderId="49" xfId="0" applyNumberFormat="1" applyFont="1" applyFill="1" applyBorder="1"/>
    <xf numFmtId="3" fontId="55" fillId="24" borderId="0" xfId="0" applyNumberFormat="1" applyFont="1" applyFill="1"/>
    <xf numFmtId="3" fontId="55" fillId="24" borderId="45" xfId="0" applyNumberFormat="1" applyFont="1" applyFill="1" applyBorder="1"/>
    <xf numFmtId="3" fontId="56" fillId="4" borderId="0" xfId="0" applyNumberFormat="1" applyFont="1" applyFill="1"/>
    <xf numFmtId="3" fontId="44" fillId="14" borderId="48" xfId="0" applyNumberFormat="1" applyFont="1" applyFill="1" applyBorder="1"/>
    <xf numFmtId="0" fontId="51" fillId="19" borderId="5" xfId="0" applyFont="1" applyFill="1" applyBorder="1"/>
    <xf numFmtId="164" fontId="6" fillId="0" borderId="13" xfId="1" applyNumberFormat="1" applyFont="1" applyBorder="1" applyAlignment="1">
      <alignment horizontal="center"/>
    </xf>
    <xf numFmtId="43" fontId="2" fillId="2" borderId="0" xfId="1" applyFont="1" applyFill="1" applyBorder="1"/>
    <xf numFmtId="10" fontId="6" fillId="0" borderId="13" xfId="1" applyNumberFormat="1" applyFont="1" applyBorder="1" applyAlignment="1">
      <alignment horizontal="center"/>
    </xf>
    <xf numFmtId="164" fontId="7" fillId="0" borderId="13" xfId="1" applyNumberFormat="1" applyFont="1" applyBorder="1" applyAlignment="1">
      <alignment horizontal="right"/>
    </xf>
    <xf numFmtId="164" fontId="7" fillId="16" borderId="13" xfId="1" applyNumberFormat="1" applyFont="1" applyFill="1" applyBorder="1" applyAlignment="1">
      <alignment vertical="center"/>
    </xf>
    <xf numFmtId="0" fontId="0" fillId="10" borderId="0" xfId="0" applyFill="1"/>
    <xf numFmtId="0" fontId="0" fillId="10" borderId="19" xfId="0" applyFill="1" applyBorder="1"/>
    <xf numFmtId="0" fontId="9" fillId="10" borderId="32" xfId="0" applyFont="1" applyFill="1" applyBorder="1"/>
    <xf numFmtId="0" fontId="8" fillId="21" borderId="25" xfId="0" applyFont="1" applyFill="1" applyBorder="1"/>
    <xf numFmtId="0" fontId="0" fillId="21" borderId="26" xfId="0" applyFill="1" applyBorder="1"/>
    <xf numFmtId="0" fontId="0" fillId="21" borderId="17" xfId="0" applyFill="1" applyBorder="1"/>
    <xf numFmtId="0" fontId="0" fillId="21" borderId="32" xfId="0" applyFill="1" applyBorder="1"/>
    <xf numFmtId="0" fontId="0" fillId="21" borderId="0" xfId="0" applyFill="1"/>
    <xf numFmtId="0" fontId="0" fillId="21" borderId="19" xfId="0" applyFill="1" applyBorder="1"/>
    <xf numFmtId="0" fontId="10" fillId="21" borderId="32" xfId="0" applyFont="1" applyFill="1" applyBorder="1"/>
    <xf numFmtId="0" fontId="10" fillId="21" borderId="25" xfId="0" applyFont="1" applyFill="1" applyBorder="1"/>
    <xf numFmtId="10" fontId="10" fillId="21" borderId="17" xfId="0" applyNumberFormat="1" applyFont="1" applyFill="1" applyBorder="1"/>
    <xf numFmtId="0" fontId="0" fillId="21" borderId="24" xfId="0" applyFill="1" applyBorder="1"/>
    <xf numFmtId="0" fontId="0" fillId="21" borderId="16" xfId="0" applyFill="1" applyBorder="1"/>
    <xf numFmtId="165" fontId="0" fillId="2" borderId="13" xfId="0" applyNumberFormat="1" applyFill="1" applyBorder="1"/>
    <xf numFmtId="9" fontId="0" fillId="2" borderId="13" xfId="2" applyFont="1" applyFill="1" applyBorder="1"/>
    <xf numFmtId="165" fontId="0" fillId="2" borderId="13" xfId="0" applyNumberFormat="1" applyFill="1" applyBorder="1" applyAlignment="1">
      <alignment horizontal="right"/>
    </xf>
    <xf numFmtId="3" fontId="0" fillId="2" borderId="13" xfId="0" applyNumberFormat="1" applyFill="1" applyBorder="1"/>
    <xf numFmtId="44" fontId="57" fillId="0" borderId="15" xfId="0" applyNumberFormat="1" applyFont="1" applyBorder="1" applyAlignment="1">
      <alignment horizontal="center"/>
    </xf>
    <xf numFmtId="44" fontId="16" fillId="0" borderId="46" xfId="0" applyNumberFormat="1" applyFont="1" applyBorder="1"/>
    <xf numFmtId="44" fontId="16" fillId="0" borderId="14" xfId="0" applyNumberFormat="1" applyFont="1" applyBorder="1"/>
    <xf numFmtId="164" fontId="0" fillId="2" borderId="6" xfId="0" applyNumberFormat="1" applyFill="1" applyBorder="1"/>
    <xf numFmtId="164" fontId="12" fillId="16" borderId="16" xfId="1" applyNumberFormat="1" applyFont="1" applyFill="1" applyBorder="1" applyAlignment="1">
      <alignment horizontal="center"/>
    </xf>
    <xf numFmtId="164" fontId="12" fillId="16" borderId="17" xfId="1" applyNumberFormat="1" applyFont="1" applyFill="1" applyBorder="1"/>
    <xf numFmtId="165" fontId="0" fillId="11" borderId="13" xfId="0" applyNumberFormat="1" applyFill="1" applyBorder="1" applyAlignment="1">
      <alignment horizontal="right"/>
    </xf>
    <xf numFmtId="0" fontId="0" fillId="11" borderId="13" xfId="0" applyFill="1" applyBorder="1" applyAlignment="1">
      <alignment horizontal="right"/>
    </xf>
    <xf numFmtId="0" fontId="0" fillId="2" borderId="7" xfId="0" applyFill="1" applyBorder="1"/>
    <xf numFmtId="0" fontId="11" fillId="2" borderId="5" xfId="0" applyFont="1" applyFill="1" applyBorder="1"/>
    <xf numFmtId="0" fontId="11" fillId="2" borderId="5" xfId="0" applyFont="1" applyFill="1" applyBorder="1" applyAlignment="1">
      <alignment horizontal="left" vertical="top"/>
    </xf>
    <xf numFmtId="0" fontId="58" fillId="2" borderId="0" xfId="0" applyFont="1" applyFill="1"/>
    <xf numFmtId="0" fontId="58" fillId="2" borderId="24" xfId="0" applyFont="1" applyFill="1" applyBorder="1"/>
    <xf numFmtId="0" fontId="11" fillId="2" borderId="0" xfId="0" applyFont="1" applyFill="1"/>
    <xf numFmtId="49" fontId="58" fillId="2" borderId="0" xfId="0" applyNumberFormat="1" applyFont="1" applyFill="1"/>
    <xf numFmtId="49" fontId="58" fillId="2" borderId="24" xfId="0" applyNumberFormat="1" applyFont="1" applyFill="1" applyBorder="1"/>
    <xf numFmtId="0" fontId="3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64" fontId="15" fillId="2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/>
    </xf>
    <xf numFmtId="0" fontId="11" fillId="4" borderId="10" xfId="0" applyFont="1" applyFill="1" applyBorder="1" applyAlignment="1">
      <alignment vertical="center"/>
    </xf>
    <xf numFmtId="168" fontId="11" fillId="0" borderId="6" xfId="0" applyNumberFormat="1" applyFont="1" applyBorder="1" applyAlignment="1">
      <alignment horizontal="center" vertical="center"/>
    </xf>
    <xf numFmtId="168" fontId="11" fillId="0" borderId="10" xfId="0" applyNumberFormat="1" applyFont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vertical="center"/>
    </xf>
    <xf numFmtId="0" fontId="11" fillId="13" borderId="10" xfId="0" applyFont="1" applyFill="1" applyBorder="1" applyAlignment="1">
      <alignment horizontal="left"/>
    </xf>
    <xf numFmtId="0" fontId="59" fillId="26" borderId="5" xfId="0" applyFont="1" applyFill="1" applyBorder="1"/>
    <xf numFmtId="0" fontId="59" fillId="26" borderId="7" xfId="0" applyFont="1" applyFill="1" applyBorder="1"/>
    <xf numFmtId="164" fontId="59" fillId="26" borderId="10" xfId="1" applyNumberFormat="1" applyFont="1" applyFill="1" applyBorder="1"/>
    <xf numFmtId="3" fontId="60" fillId="26" borderId="10" xfId="0" applyNumberFormat="1" applyFont="1" applyFill="1" applyBorder="1"/>
    <xf numFmtId="164" fontId="61" fillId="26" borderId="10" xfId="1" applyNumberFormat="1" applyFont="1" applyFill="1" applyBorder="1"/>
    <xf numFmtId="3" fontId="0" fillId="11" borderId="13" xfId="0" applyNumberFormat="1" applyFill="1" applyBorder="1"/>
    <xf numFmtId="10" fontId="0" fillId="11" borderId="13" xfId="0" applyNumberFormat="1" applyFill="1" applyBorder="1" applyAlignment="1">
      <alignment horizontal="right"/>
    </xf>
    <xf numFmtId="169" fontId="0" fillId="11" borderId="13" xfId="0" applyNumberForma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171" fontId="0" fillId="0" borderId="10" xfId="0" applyNumberFormat="1" applyBorder="1"/>
    <xf numFmtId="170" fontId="0" fillId="0" borderId="10" xfId="0" applyNumberFormat="1" applyBorder="1"/>
    <xf numFmtId="10" fontId="0" fillId="0" borderId="10" xfId="0" applyNumberFormat="1" applyBorder="1"/>
    <xf numFmtId="0" fontId="0" fillId="0" borderId="47" xfId="0" applyBorder="1"/>
    <xf numFmtId="10" fontId="0" fillId="11" borderId="10" xfId="0" applyNumberFormat="1" applyFill="1" applyBorder="1"/>
    <xf numFmtId="3" fontId="63" fillId="0" borderId="12" xfId="0" applyNumberFormat="1" applyFont="1" applyBorder="1" applyAlignment="1">
      <alignment horizontal="left" vertical="top"/>
    </xf>
    <xf numFmtId="167" fontId="2" fillId="0" borderId="45" xfId="0" applyNumberFormat="1" applyFont="1" applyBorder="1" applyAlignment="1">
      <alignment horizontal="left" vertical="top"/>
    </xf>
    <xf numFmtId="164" fontId="2" fillId="11" borderId="10" xfId="1" applyNumberFormat="1" applyFont="1" applyFill="1" applyBorder="1" applyAlignment="1">
      <alignment horizontal="left" vertical="center"/>
    </xf>
    <xf numFmtId="0" fontId="0" fillId="0" borderId="50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0" xfId="0" applyFont="1"/>
    <xf numFmtId="10" fontId="3" fillId="11" borderId="10" xfId="0" applyNumberFormat="1" applyFont="1" applyFill="1" applyBorder="1"/>
    <xf numFmtId="164" fontId="2" fillId="11" borderId="10" xfId="0" applyNumberFormat="1" applyFont="1" applyFill="1" applyBorder="1"/>
    <xf numFmtId="10" fontId="0" fillId="0" borderId="0" xfId="0" applyNumberFormat="1"/>
    <xf numFmtId="2" fontId="0" fillId="0" borderId="0" xfId="0" applyNumberFormat="1"/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32" fillId="11" borderId="13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2" fillId="0" borderId="49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45" xfId="0" applyFont="1" applyBorder="1" applyAlignment="1">
      <alignment horizontal="center"/>
    </xf>
    <xf numFmtId="0" fontId="0" fillId="0" borderId="0" xfId="0" applyAlignment="1">
      <alignment horizontal="center"/>
    </xf>
    <xf numFmtId="43" fontId="64" fillId="27" borderId="13" xfId="0" applyNumberFormat="1" applyFont="1" applyFill="1" applyBorder="1" applyAlignment="1">
      <alignment vertical="center"/>
    </xf>
    <xf numFmtId="10" fontId="64" fillId="27" borderId="13" xfId="0" applyNumberFormat="1" applyFont="1" applyFill="1" applyBorder="1" applyAlignment="1">
      <alignment vertical="center"/>
    </xf>
    <xf numFmtId="0" fontId="65" fillId="27" borderId="5" xfId="0" applyFont="1" applyFill="1" applyBorder="1" applyAlignment="1">
      <alignment horizontal="center"/>
    </xf>
    <xf numFmtId="0" fontId="65" fillId="27" borderId="7" xfId="0" applyFont="1" applyFill="1" applyBorder="1" applyAlignment="1">
      <alignment horizontal="center"/>
    </xf>
    <xf numFmtId="10" fontId="59" fillId="27" borderId="31" xfId="0" applyNumberFormat="1" applyFont="1" applyFill="1" applyBorder="1"/>
    <xf numFmtId="0" fontId="66" fillId="27" borderId="4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73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12700</xdr:rowOff>
    </xdr:from>
    <xdr:to>
      <xdr:col>17</xdr:col>
      <xdr:colOff>25400</xdr:colOff>
      <xdr:row>20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DBA92-AC3C-CBE6-B822-793F3119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12700"/>
          <a:ext cx="5765800" cy="427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20</xdr:row>
      <xdr:rowOff>203199</xdr:rowOff>
    </xdr:from>
    <xdr:to>
      <xdr:col>16</xdr:col>
      <xdr:colOff>800100</xdr:colOff>
      <xdr:row>45</xdr:row>
      <xdr:rowOff>29958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4FDDBF-A47B-2EFE-4018-753082B439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183" t="33203" r="18954" b="23399"/>
        <a:stretch/>
      </xdr:blipFill>
      <xdr:spPr>
        <a:xfrm>
          <a:off x="8420100" y="4343399"/>
          <a:ext cx="5727700" cy="5135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A50F-4B28-FD4C-885F-3E14157D100C}">
  <dimension ref="A1:AO106"/>
  <sheetViews>
    <sheetView showGridLines="0" tabSelected="1" zoomScale="75" workbookViewId="0">
      <selection activeCell="D8" sqref="D8"/>
    </sheetView>
  </sheetViews>
  <sheetFormatPr baseColWidth="10" defaultRowHeight="16"/>
  <cols>
    <col min="1" max="1" width="18.83203125" customWidth="1"/>
    <col min="2" max="2" width="23" bestFit="1" customWidth="1"/>
    <col min="3" max="3" width="22.1640625" customWidth="1"/>
    <col min="4" max="4" width="23.33203125" customWidth="1"/>
    <col min="5" max="5" width="21.33203125" customWidth="1"/>
    <col min="6" max="6" width="26.33203125" style="3" customWidth="1"/>
    <col min="7" max="7" width="30" customWidth="1"/>
    <col min="8" max="8" width="22.33203125" customWidth="1"/>
    <col min="9" max="9" width="27.1640625" customWidth="1"/>
    <col min="10" max="10" width="25.83203125" customWidth="1"/>
    <col min="11" max="11" width="25.1640625" customWidth="1"/>
    <col min="12" max="12" width="10.83203125" style="6"/>
    <col min="13" max="13" width="47.1640625" style="6" customWidth="1"/>
    <col min="14" max="14" width="31.1640625" style="6" customWidth="1"/>
    <col min="15" max="15" width="26.1640625" style="6" customWidth="1"/>
    <col min="16" max="16" width="25" style="6" customWidth="1"/>
    <col min="17" max="17" width="23.33203125" style="6" customWidth="1"/>
    <col min="18" max="18" width="24.6640625" style="6" customWidth="1"/>
    <col min="19" max="19" width="10.83203125" style="6"/>
    <col min="25" max="25" width="13.6640625" bestFit="1" customWidth="1"/>
    <col min="31" max="31" width="22.1640625" customWidth="1"/>
    <col min="32" max="32" width="24.5" customWidth="1"/>
    <col min="33" max="33" width="22.33203125" customWidth="1"/>
    <col min="34" max="34" width="27.83203125" customWidth="1"/>
    <col min="35" max="35" width="24.83203125" customWidth="1"/>
    <col min="36" max="36" width="39.83203125" customWidth="1"/>
    <col min="37" max="37" width="28.6640625" customWidth="1"/>
    <col min="38" max="38" width="40.83203125" customWidth="1"/>
    <col min="39" max="39" width="39.5" customWidth="1"/>
    <col min="40" max="40" width="35.83203125" customWidth="1"/>
    <col min="41" max="41" width="20.33203125" customWidth="1"/>
  </cols>
  <sheetData>
    <row r="1" spans="1:41" ht="17" thickBot="1">
      <c r="A1" s="9" t="s">
        <v>46</v>
      </c>
      <c r="B1" s="20"/>
      <c r="C1" s="21" t="s">
        <v>48</v>
      </c>
      <c r="D1" s="345" t="s">
        <v>21</v>
      </c>
      <c r="E1" s="346"/>
      <c r="F1" s="7"/>
      <c r="G1" s="6"/>
      <c r="H1" s="6"/>
      <c r="I1" s="6"/>
      <c r="J1" s="6"/>
      <c r="K1" s="6"/>
      <c r="T1" s="6"/>
      <c r="U1" s="6"/>
      <c r="V1" s="6"/>
      <c r="W1" s="6"/>
    </row>
    <row r="2" spans="1:41" s="1" customFormat="1" ht="23" thickBot="1">
      <c r="A2" s="9" t="s">
        <v>0</v>
      </c>
      <c r="B2" s="11"/>
      <c r="C2" s="11"/>
      <c r="D2" s="11"/>
      <c r="E2" s="11"/>
      <c r="F2" s="54"/>
      <c r="G2" s="11"/>
      <c r="H2" s="11"/>
      <c r="I2" s="11"/>
      <c r="J2" s="11"/>
      <c r="K2" s="11"/>
      <c r="L2" s="11"/>
      <c r="M2" s="338" t="s">
        <v>78</v>
      </c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137" t="s">
        <v>85</v>
      </c>
      <c r="Y2" s="138" t="s">
        <v>86</v>
      </c>
      <c r="Z2" s="138" t="s">
        <v>87</v>
      </c>
      <c r="AA2" s="139" t="s">
        <v>88</v>
      </c>
      <c r="AE2" s="300"/>
      <c r="AF2" s="303" t="s">
        <v>132</v>
      </c>
      <c r="AG2" s="304" t="s">
        <v>133</v>
      </c>
      <c r="AH2" s="303" t="s">
        <v>134</v>
      </c>
      <c r="AI2" s="303" t="s">
        <v>135</v>
      </c>
      <c r="AJ2" s="303" t="s">
        <v>136</v>
      </c>
      <c r="AK2" s="303" t="s">
        <v>137</v>
      </c>
      <c r="AO2" s="1" t="s">
        <v>137</v>
      </c>
    </row>
    <row r="3" spans="1:41" ht="25" thickBot="1">
      <c r="A3" s="12" t="s">
        <v>15</v>
      </c>
      <c r="B3" s="13"/>
      <c r="C3" s="22"/>
      <c r="D3" s="22"/>
      <c r="E3" s="22"/>
      <c r="F3" s="23"/>
      <c r="G3" s="22"/>
      <c r="H3" s="22"/>
      <c r="I3" s="22"/>
      <c r="J3" s="22"/>
      <c r="K3" s="23"/>
      <c r="M3" s="80" t="s">
        <v>1</v>
      </c>
      <c r="N3" s="81">
        <v>2019</v>
      </c>
      <c r="O3" s="81">
        <v>2020</v>
      </c>
      <c r="P3" s="81">
        <v>2021</v>
      </c>
      <c r="Q3" s="81">
        <v>2022</v>
      </c>
      <c r="R3" s="82">
        <v>2023</v>
      </c>
      <c r="S3" s="81">
        <v>2024</v>
      </c>
      <c r="T3" s="81">
        <v>2025</v>
      </c>
      <c r="U3" s="81">
        <v>2026</v>
      </c>
      <c r="V3" s="81">
        <v>2027</v>
      </c>
      <c r="W3" s="129">
        <v>2028</v>
      </c>
      <c r="X3" s="335" t="s">
        <v>84</v>
      </c>
      <c r="Y3" s="336"/>
      <c r="Z3" s="336"/>
      <c r="AA3" s="337"/>
      <c r="AE3" s="305" t="s">
        <v>138</v>
      </c>
      <c r="AF3" s="302">
        <f>AVERAGE(N4:R4)</f>
        <v>2448841000</v>
      </c>
      <c r="AG3" s="302">
        <f>AVERAGE(N5:R5)</f>
        <v>1936813200</v>
      </c>
      <c r="AH3" s="301">
        <f>AVERAGE(N7:R7)</f>
        <v>93059800</v>
      </c>
      <c r="AI3" s="302">
        <f>AVERAGE(N8:R8)</f>
        <v>35119200</v>
      </c>
      <c r="AJ3" s="301">
        <f>AVERAGE(N10:R10)</f>
        <v>174773800</v>
      </c>
      <c r="AK3" s="302">
        <f>AVERAGE(N14:R14)</f>
        <v>67755000</v>
      </c>
    </row>
    <row r="4" spans="1:41" s="1" customFormat="1" ht="23" thickBot="1">
      <c r="A4" s="2" t="s">
        <v>1</v>
      </c>
      <c r="B4" s="15">
        <v>2019</v>
      </c>
      <c r="C4" s="16">
        <v>2020</v>
      </c>
      <c r="D4" s="16">
        <v>2021</v>
      </c>
      <c r="E4" s="16">
        <v>2022</v>
      </c>
      <c r="F4" s="17">
        <v>2023</v>
      </c>
      <c r="G4" s="15">
        <v>2024</v>
      </c>
      <c r="H4" s="16">
        <v>2025</v>
      </c>
      <c r="I4" s="16">
        <v>2026</v>
      </c>
      <c r="J4" s="16">
        <v>2027</v>
      </c>
      <c r="K4" s="17">
        <v>2028</v>
      </c>
      <c r="L4" s="11"/>
      <c r="M4" s="83" t="s">
        <v>52</v>
      </c>
      <c r="N4" s="84">
        <v>1686398000</v>
      </c>
      <c r="O4" s="84">
        <v>1624739000</v>
      </c>
      <c r="P4" s="85">
        <v>1784789000</v>
      </c>
      <c r="Q4" s="86">
        <v>1975878000</v>
      </c>
      <c r="R4" s="87">
        <v>5172401000</v>
      </c>
      <c r="S4" s="88"/>
      <c r="T4" s="88"/>
      <c r="U4" s="88"/>
      <c r="V4" s="88"/>
      <c r="W4" s="130"/>
      <c r="X4" s="140">
        <f>100*(O4-$N$4)/((O4+$N$4)/2)</f>
        <v>-3.7243400076771214</v>
      </c>
      <c r="Y4" s="141">
        <f t="shared" ref="Y4:AA5" si="0">100*(P4-$N$4)/((P4+$N$4)/2)</f>
        <v>5.6690117818486874</v>
      </c>
      <c r="Z4" s="141">
        <f t="shared" si="0"/>
        <v>15.808748439495002</v>
      </c>
      <c r="AA4" s="142">
        <f t="shared" si="0"/>
        <v>101.65053677764868</v>
      </c>
      <c r="AB4" s="1">
        <f>AVERAGE(X4:AA4)</f>
        <v>29.850989247828814</v>
      </c>
      <c r="AE4" s="306" t="s">
        <v>139</v>
      </c>
      <c r="AF4" s="299"/>
      <c r="AG4" s="299"/>
      <c r="AH4" s="299"/>
      <c r="AI4" s="299"/>
      <c r="AJ4" s="299"/>
      <c r="AK4" s="299"/>
    </row>
    <row r="5" spans="1:41" s="1" customFormat="1" ht="40">
      <c r="A5" s="26" t="s">
        <v>2</v>
      </c>
      <c r="B5" s="27">
        <v>4565062000</v>
      </c>
      <c r="C5" s="27">
        <v>3662964000</v>
      </c>
      <c r="D5" s="27">
        <v>3268807000</v>
      </c>
      <c r="E5" s="27">
        <v>4902080000</v>
      </c>
      <c r="F5" s="27">
        <v>8220426000</v>
      </c>
      <c r="G5" s="127">
        <f>(F5*(1+$C8))</f>
        <v>9246637943.9936275</v>
      </c>
      <c r="H5" s="127">
        <f>(G5*(1+$C8))</f>
        <v>10400958936.593151</v>
      </c>
      <c r="I5" s="128">
        <f>(H5*(1+$C8))</f>
        <v>11699381705.646622</v>
      </c>
      <c r="J5" s="128">
        <f>(I5*(1+$C8))</f>
        <v>13159895460.49036</v>
      </c>
      <c r="K5" s="128">
        <f>(J5*(1+$C8))</f>
        <v>14802735126.374187</v>
      </c>
      <c r="L5" s="11"/>
      <c r="M5" s="89" t="s">
        <v>53</v>
      </c>
      <c r="N5" s="84">
        <v>2121863000</v>
      </c>
      <c r="O5" s="84">
        <v>1321316000</v>
      </c>
      <c r="P5" s="85">
        <v>1091803000</v>
      </c>
      <c r="Q5" s="86">
        <v>2528106000</v>
      </c>
      <c r="R5" s="87">
        <v>2620978000</v>
      </c>
      <c r="S5" s="88"/>
      <c r="T5" s="88"/>
      <c r="U5" s="88"/>
      <c r="V5" s="88"/>
      <c r="W5" s="130"/>
      <c r="X5" s="143">
        <f>100*(O5-$N$4)/((O5+$N$4)/2)</f>
        <v>-24.276377341728637</v>
      </c>
      <c r="Y5" s="143">
        <f t="shared" si="0"/>
        <v>-42.804318334058621</v>
      </c>
      <c r="Z5" s="143">
        <f t="shared" si="0"/>
        <v>39.943395474295436</v>
      </c>
      <c r="AA5" s="144">
        <f t="shared" si="0"/>
        <v>43.394400674563819</v>
      </c>
      <c r="AB5" s="1">
        <f t="shared" ref="AB5:AB14" si="1">AVERAGE(X5:AA5)</f>
        <v>4.0642751182680001</v>
      </c>
      <c r="AE5" s="298"/>
    </row>
    <row r="6" spans="1:41" s="1" customFormat="1" ht="20" thickBot="1">
      <c r="A6" s="28" t="s">
        <v>124</v>
      </c>
      <c r="B6" s="28" t="s">
        <v>3</v>
      </c>
      <c r="C6" s="29">
        <f>(C5-B5)/B5</f>
        <v>-0.19760914528652623</v>
      </c>
      <c r="D6" s="29">
        <f t="shared" ref="D6:K6" si="2">(D5-C5)/C5</f>
        <v>-0.10760602615805125</v>
      </c>
      <c r="E6" s="29">
        <f t="shared" si="2"/>
        <v>0.49965415517037254</v>
      </c>
      <c r="F6" s="30">
        <f t="shared" si="2"/>
        <v>0.67692612115673345</v>
      </c>
      <c r="G6" s="69">
        <f>(G5-F5)/F5</f>
        <v>0.12483683254293969</v>
      </c>
      <c r="H6" s="69">
        <f>(H5-G5)/G5</f>
        <v>0.12483683254293958</v>
      </c>
      <c r="I6" s="70">
        <f t="shared" si="2"/>
        <v>0.12483683254293963</v>
      </c>
      <c r="J6" s="70">
        <f t="shared" si="2"/>
        <v>0.12483683254293962</v>
      </c>
      <c r="K6" s="70">
        <f t="shared" si="2"/>
        <v>0.12483683254293969</v>
      </c>
      <c r="L6" s="11"/>
      <c r="M6" s="90" t="s">
        <v>54</v>
      </c>
      <c r="N6" s="91"/>
      <c r="O6" s="91"/>
      <c r="P6" s="92"/>
      <c r="Q6" s="93"/>
      <c r="R6" s="93"/>
      <c r="S6" s="94"/>
      <c r="T6" s="94"/>
      <c r="U6" s="94"/>
      <c r="V6" s="94"/>
      <c r="W6" s="131"/>
      <c r="X6" s="145"/>
      <c r="Y6" s="146"/>
      <c r="Z6" s="146"/>
      <c r="AA6" s="147"/>
      <c r="AE6" s="298"/>
    </row>
    <row r="7" spans="1:41" ht="20" thickBot="1">
      <c r="A7" s="14" t="s">
        <v>4</v>
      </c>
      <c r="B7" s="341" t="s">
        <v>5</v>
      </c>
      <c r="C7" s="342"/>
      <c r="D7" s="360" t="s">
        <v>49</v>
      </c>
      <c r="E7" s="361"/>
      <c r="F7" s="7"/>
      <c r="G7" s="71"/>
      <c r="H7" s="72"/>
      <c r="I7" s="72"/>
      <c r="J7" s="72"/>
      <c r="K7" s="73"/>
      <c r="M7" s="95" t="s">
        <v>68</v>
      </c>
      <c r="N7" s="84">
        <v>163880000</v>
      </c>
      <c r="O7" s="84">
        <v>81423000</v>
      </c>
      <c r="P7" s="85">
        <v>75338000</v>
      </c>
      <c r="Q7" s="96">
        <v>61814000</v>
      </c>
      <c r="R7" s="87">
        <v>82844000</v>
      </c>
      <c r="S7" s="88"/>
      <c r="T7" s="88"/>
      <c r="U7" s="88"/>
      <c r="V7" s="88"/>
      <c r="W7" s="130"/>
      <c r="X7" s="143">
        <f t="shared" ref="X7:X14" si="3">100*(O7-$N$4)/((O7+$N$4)/2)</f>
        <v>-181.5766415264894</v>
      </c>
      <c r="Y7" s="143">
        <f t="shared" ref="Y7:Y10" si="4">100*(P7-$N$4)/((P7+$N$4)/2)</f>
        <v>-182.89459941784693</v>
      </c>
      <c r="Z7" s="143">
        <f t="shared" ref="Z7:Z10" si="5">100*(Q7-$N$4)/((Q7+$N$4)/2)</f>
        <v>-185.85663523645874</v>
      </c>
      <c r="AA7" s="144">
        <f t="shared" ref="AA7:AA10" si="6">100*(R7-$N$4)/((R7+$N$4)/2)</f>
        <v>-181.27017106760974</v>
      </c>
      <c r="AB7" s="1">
        <f t="shared" si="1"/>
        <v>-182.8995118121012</v>
      </c>
      <c r="AE7" s="298"/>
    </row>
    <row r="8" spans="1:41" ht="20" thickBot="1">
      <c r="A8" s="343" t="s">
        <v>6</v>
      </c>
      <c r="B8" s="344"/>
      <c r="C8" s="19">
        <f>(F5/B5)^(1/5)-1</f>
        <v>0.12483683254293965</v>
      </c>
      <c r="D8" s="362">
        <f>AVERAGE(B6:F6)</f>
        <v>0.21784127622063212</v>
      </c>
      <c r="E8" s="363" t="s">
        <v>50</v>
      </c>
      <c r="F8" s="7"/>
      <c r="G8" s="358">
        <f>((F5*$D$8)+F5)</f>
        <v>10011174090.917267</v>
      </c>
      <c r="H8" s="358">
        <f t="shared" ref="H8:K8" si="7">((G5*$D$8)+G5)</f>
        <v>11260937354.463322</v>
      </c>
      <c r="I8" s="358">
        <f t="shared" si="7"/>
        <v>12666717105.258991</v>
      </c>
      <c r="J8" s="358">
        <f t="shared" si="7"/>
        <v>14247989947.396997</v>
      </c>
      <c r="K8" s="358">
        <f t="shared" si="7"/>
        <v>16026663882.533684</v>
      </c>
      <c r="M8" s="95" t="s">
        <v>69</v>
      </c>
      <c r="N8" s="84">
        <v>43998000</v>
      </c>
      <c r="O8" s="84">
        <v>62073000</v>
      </c>
      <c r="P8" s="85">
        <v>36793000</v>
      </c>
      <c r="Q8" s="97">
        <v>12725000</v>
      </c>
      <c r="R8" s="87">
        <v>20007000</v>
      </c>
      <c r="S8" s="88"/>
      <c r="T8" s="88"/>
      <c r="U8" s="88"/>
      <c r="V8" s="88"/>
      <c r="W8" s="130"/>
      <c r="X8" s="143">
        <f t="shared" si="3"/>
        <v>-185.79947851580039</v>
      </c>
      <c r="Y8" s="143">
        <f t="shared" si="4"/>
        <v>-191.45933329503231</v>
      </c>
      <c r="Z8" s="143">
        <f t="shared" si="5"/>
        <v>-197.00433694323485</v>
      </c>
      <c r="AA8" s="144">
        <f t="shared" si="6"/>
        <v>-195.31014032424892</v>
      </c>
      <c r="AB8" s="1">
        <f t="shared" si="1"/>
        <v>-192.3933222695791</v>
      </c>
    </row>
    <row r="9" spans="1:41" ht="19">
      <c r="A9" s="4"/>
      <c r="B9" s="4"/>
      <c r="C9" s="5"/>
      <c r="D9" s="6"/>
      <c r="E9" s="6"/>
      <c r="F9" s="7"/>
      <c r="G9" s="359">
        <f>(G8-F5)/F5</f>
        <v>0.21784127622063221</v>
      </c>
      <c r="H9" s="359">
        <f t="shared" ref="H9:K9" si="8">(H8-G5)/G5</f>
        <v>0.21784127622063218</v>
      </c>
      <c r="I9" s="359">
        <f t="shared" si="8"/>
        <v>0.21784127622063207</v>
      </c>
      <c r="J9" s="359">
        <f t="shared" si="8"/>
        <v>0.2178412762206321</v>
      </c>
      <c r="K9" s="359">
        <f t="shared" si="8"/>
        <v>0.21784127622063212</v>
      </c>
      <c r="M9" s="95" t="s">
        <v>70</v>
      </c>
      <c r="N9" s="84">
        <v>28170000</v>
      </c>
      <c r="O9" s="84">
        <v>55258000</v>
      </c>
      <c r="P9" s="85">
        <v>42855000</v>
      </c>
      <c r="Q9" s="97">
        <v>61123000</v>
      </c>
      <c r="R9" s="87">
        <v>26306000</v>
      </c>
      <c r="S9" s="88"/>
      <c r="T9" s="88"/>
      <c r="U9" s="88"/>
      <c r="V9" s="88"/>
      <c r="W9" s="130"/>
      <c r="X9" s="143">
        <f t="shared" si="3"/>
        <v>-187.30908973987974</v>
      </c>
      <c r="Y9" s="143">
        <f t="shared" si="4"/>
        <v>-190.08704914781123</v>
      </c>
      <c r="Z9" s="143">
        <f t="shared" si="5"/>
        <v>-186.00920961750961</v>
      </c>
      <c r="AA9" s="144">
        <f t="shared" si="6"/>
        <v>-193.85626471357571</v>
      </c>
      <c r="AB9" s="1">
        <f t="shared" si="1"/>
        <v>-189.31540330469409</v>
      </c>
      <c r="AC9" s="1"/>
    </row>
    <row r="10" spans="1:41" ht="19">
      <c r="A10" s="4"/>
      <c r="B10" s="4"/>
      <c r="C10" s="5"/>
      <c r="D10" s="6"/>
      <c r="E10" s="6"/>
      <c r="F10" s="6"/>
      <c r="G10" s="68"/>
      <c r="H10" s="66"/>
      <c r="I10" s="66"/>
      <c r="J10" s="66"/>
      <c r="K10" s="67"/>
      <c r="M10" s="95" t="s">
        <v>71</v>
      </c>
      <c r="N10" s="84">
        <v>170297000</v>
      </c>
      <c r="O10" s="84">
        <v>165557000</v>
      </c>
      <c r="P10" s="85">
        <v>177227000</v>
      </c>
      <c r="Q10" s="85">
        <v>179663000</v>
      </c>
      <c r="R10" s="87">
        <v>181125000</v>
      </c>
      <c r="S10" s="88"/>
      <c r="T10" s="88"/>
      <c r="U10" s="88"/>
      <c r="V10" s="88"/>
      <c r="W10" s="130"/>
      <c r="X10" s="143">
        <f t="shared" si="3"/>
        <v>-164.24167973843856</v>
      </c>
      <c r="Y10" s="143">
        <f t="shared" si="4"/>
        <v>-161.9608022000134</v>
      </c>
      <c r="Z10" s="143">
        <f t="shared" si="5"/>
        <v>-161.48829003982186</v>
      </c>
      <c r="AA10" s="144">
        <f t="shared" si="6"/>
        <v>-161.20529706996916</v>
      </c>
      <c r="AB10" s="1">
        <f t="shared" si="1"/>
        <v>-162.22401726206073</v>
      </c>
    </row>
    <row r="11" spans="1:41" ht="19">
      <c r="A11" s="6"/>
      <c r="B11" s="6"/>
      <c r="C11" s="6"/>
      <c r="D11" s="6"/>
      <c r="E11" s="6"/>
      <c r="F11" s="7"/>
      <c r="G11" s="39"/>
      <c r="H11" s="6"/>
      <c r="I11" s="6"/>
      <c r="J11" s="6"/>
      <c r="K11" s="7"/>
      <c r="M11" s="95" t="s">
        <v>72</v>
      </c>
      <c r="N11" s="85">
        <v>0</v>
      </c>
      <c r="O11" s="85">
        <v>0</v>
      </c>
      <c r="P11" s="85">
        <v>0</v>
      </c>
      <c r="Q11" s="85">
        <v>0</v>
      </c>
      <c r="R11" s="85"/>
      <c r="S11" s="88"/>
      <c r="T11" s="88"/>
      <c r="U11" s="88"/>
      <c r="V11" s="88"/>
      <c r="W11" s="130"/>
      <c r="X11" s="143"/>
      <c r="Y11" s="148"/>
      <c r="Z11" s="148"/>
      <c r="AA11" s="149"/>
      <c r="AB11" s="1"/>
    </row>
    <row r="12" spans="1:41" ht="19">
      <c r="A12" s="32" t="s">
        <v>16</v>
      </c>
      <c r="B12" s="124">
        <v>443401000</v>
      </c>
      <c r="C12" s="124">
        <v>355655000</v>
      </c>
      <c r="D12" s="33">
        <v>434886000</v>
      </c>
      <c r="E12" s="33">
        <v>446678000</v>
      </c>
      <c r="F12" s="33">
        <v>694787000</v>
      </c>
      <c r="G12" s="125">
        <f>(F12*(1+$C$17))</f>
        <v>760085918.86599612</v>
      </c>
      <c r="H12" s="125">
        <f t="shared" ref="H12:K12" si="9">(G12*(1+$C$17))</f>
        <v>831521896.72283113</v>
      </c>
      <c r="I12" s="125">
        <f t="shared" si="9"/>
        <v>909671719.43022692</v>
      </c>
      <c r="J12" s="125">
        <f t="shared" si="9"/>
        <v>995166381.5378449</v>
      </c>
      <c r="K12" s="125">
        <f t="shared" si="9"/>
        <v>1088696181.0392845</v>
      </c>
      <c r="M12" s="95" t="s">
        <v>73</v>
      </c>
      <c r="N12" s="85">
        <v>0</v>
      </c>
      <c r="O12" s="85">
        <v>0</v>
      </c>
      <c r="P12" s="85">
        <v>0</v>
      </c>
      <c r="Q12" s="85">
        <v>0</v>
      </c>
      <c r="R12" s="85"/>
      <c r="S12" s="88"/>
      <c r="T12" s="136"/>
      <c r="U12" s="88"/>
      <c r="V12" s="88"/>
      <c r="W12" s="130"/>
      <c r="X12" s="143"/>
      <c r="Y12" s="148"/>
      <c r="Z12" s="148"/>
      <c r="AA12" s="149"/>
      <c r="AB12" s="1"/>
    </row>
    <row r="13" spans="1:41" ht="19">
      <c r="A13" s="32" t="s">
        <v>17</v>
      </c>
      <c r="B13" s="30">
        <f>(B12/B5)</f>
        <v>9.7129239427635378E-2</v>
      </c>
      <c r="C13" s="30">
        <f t="shared" ref="C13:F13" si="10">(C12/C5)</f>
        <v>9.7094866343212766E-2</v>
      </c>
      <c r="D13" s="30">
        <f t="shared" si="10"/>
        <v>0.13304119821084573</v>
      </c>
      <c r="E13" s="30">
        <f t="shared" si="10"/>
        <v>9.1120095959266276E-2</v>
      </c>
      <c r="F13" s="30">
        <f t="shared" si="10"/>
        <v>8.4519585724632765E-2</v>
      </c>
      <c r="G13" s="30">
        <f t="shared" ref="G13" si="11">(G12/G5)</f>
        <v>8.2201328036178592E-2</v>
      </c>
      <c r="H13" s="30">
        <f t="shared" ref="H13" si="12">(H12/H5)</f>
        <v>7.9946657014223085E-2</v>
      </c>
      <c r="I13" s="30">
        <f t="shared" ref="I13" si="13">(I12/I5)</f>
        <v>7.775382856268212E-2</v>
      </c>
      <c r="J13" s="30">
        <f t="shared" ref="J13" si="14">(J12/J5)</f>
        <v>7.562114642366341E-2</v>
      </c>
      <c r="K13" s="30">
        <f t="shared" ref="K13" si="15">(K12/K5)</f>
        <v>7.3546960865329761E-2</v>
      </c>
      <c r="M13" s="95" t="s">
        <v>74</v>
      </c>
      <c r="N13" s="85">
        <v>0</v>
      </c>
      <c r="O13" s="85">
        <v>0</v>
      </c>
      <c r="P13" s="85">
        <v>0</v>
      </c>
      <c r="Q13" s="85">
        <v>0</v>
      </c>
      <c r="R13" s="85"/>
      <c r="S13" s="88"/>
      <c r="T13" s="88"/>
      <c r="U13" s="88"/>
      <c r="V13" s="88"/>
      <c r="W13" s="130"/>
      <c r="X13" s="143"/>
      <c r="Y13" s="148"/>
      <c r="Z13" s="148"/>
      <c r="AA13" s="149"/>
      <c r="AB13" s="1"/>
    </row>
    <row r="14" spans="1:41" ht="19">
      <c r="A14" s="9"/>
      <c r="B14" s="5"/>
      <c r="C14" s="5"/>
      <c r="D14" s="5"/>
      <c r="E14" s="5"/>
      <c r="F14" s="18"/>
      <c r="G14" s="59"/>
      <c r="H14" s="5"/>
      <c r="I14" s="5"/>
      <c r="J14" s="5"/>
      <c r="K14" s="18"/>
      <c r="M14" s="95" t="s">
        <v>75</v>
      </c>
      <c r="N14" s="84">
        <v>41474000</v>
      </c>
      <c r="O14" s="84">
        <v>37763000</v>
      </c>
      <c r="P14" s="85">
        <v>60002000</v>
      </c>
      <c r="Q14" s="85">
        <v>82771000</v>
      </c>
      <c r="R14" s="87">
        <v>116765000</v>
      </c>
      <c r="S14" s="88"/>
      <c r="T14" s="88"/>
      <c r="U14" s="88"/>
      <c r="V14" s="88"/>
      <c r="W14" s="130"/>
      <c r="X14" s="143">
        <f t="shared" si="3"/>
        <v>-191.23910122082566</v>
      </c>
      <c r="Y14" s="143">
        <f t="shared" ref="Y14" si="16">100*(P14-$N$4)/((P14+$N$4)/2)</f>
        <v>-186.25698579935869</v>
      </c>
      <c r="Z14" s="143">
        <f t="shared" ref="Z14" si="17">100*(Q14-$N$4)/((Q14+$N$4)/2)</f>
        <v>-181.28590315566234</v>
      </c>
      <c r="AA14" s="144">
        <f t="shared" ref="AA14" si="18">100*(R14-$N$4)/((R14+$N$4)/2)</f>
        <v>-174.09773825217133</v>
      </c>
      <c r="AB14" s="1">
        <f t="shared" si="1"/>
        <v>-183.2199321070045</v>
      </c>
    </row>
    <row r="15" spans="1:41" ht="20" thickBot="1">
      <c r="A15" s="9"/>
      <c r="B15" s="5"/>
      <c r="C15" s="5"/>
      <c r="D15" s="5"/>
      <c r="E15" s="5"/>
      <c r="F15" s="18"/>
      <c r="G15" s="60"/>
      <c r="H15" s="5"/>
      <c r="I15" s="5"/>
      <c r="J15" s="5"/>
      <c r="K15" s="18"/>
      <c r="M15" s="98" t="s">
        <v>76</v>
      </c>
      <c r="N15" s="84">
        <v>308982000</v>
      </c>
      <c r="O15" s="84">
        <v>314835000</v>
      </c>
      <c r="P15" s="96"/>
      <c r="Q15" s="96"/>
      <c r="R15" s="85"/>
      <c r="S15" s="88"/>
      <c r="T15" s="88"/>
      <c r="U15" s="88"/>
      <c r="V15" s="88"/>
      <c r="W15" s="130"/>
      <c r="X15" s="143"/>
      <c r="Y15" s="148"/>
      <c r="Z15" s="148"/>
      <c r="AA15" s="149"/>
    </row>
    <row r="16" spans="1:41" ht="20" thickBot="1">
      <c r="A16" s="340" t="s">
        <v>5</v>
      </c>
      <c r="B16" s="341"/>
      <c r="C16" s="342"/>
      <c r="D16" s="5"/>
      <c r="E16" s="5"/>
      <c r="F16" s="18"/>
      <c r="G16" s="60"/>
      <c r="H16" s="5"/>
      <c r="I16" s="5"/>
      <c r="J16" s="5"/>
      <c r="K16" s="18"/>
      <c r="M16" s="99" t="s">
        <v>77</v>
      </c>
      <c r="N16" s="100"/>
      <c r="O16" s="100"/>
      <c r="P16" s="101">
        <v>248411</v>
      </c>
      <c r="Q16" s="101">
        <v>241802</v>
      </c>
      <c r="R16" s="102">
        <v>47693</v>
      </c>
      <c r="S16" s="103"/>
      <c r="T16" s="103"/>
      <c r="U16" s="103"/>
      <c r="V16" s="103"/>
      <c r="W16" s="132"/>
      <c r="X16" s="133"/>
      <c r="Y16" s="135"/>
      <c r="Z16" s="135"/>
      <c r="AA16" s="134"/>
    </row>
    <row r="17" spans="1:24" ht="20" thickBot="1">
      <c r="A17" s="343" t="s">
        <v>20</v>
      </c>
      <c r="B17" s="344"/>
      <c r="C17" s="19">
        <f>(F12/B12)^(1/5) - 1</f>
        <v>9.3984082698720828E-2</v>
      </c>
      <c r="D17" s="5"/>
      <c r="E17" s="5"/>
      <c r="F17" s="18"/>
      <c r="G17" s="60"/>
      <c r="H17" s="5"/>
      <c r="I17" s="5"/>
      <c r="J17" s="5"/>
      <c r="K17" s="18"/>
      <c r="M17" s="104"/>
      <c r="N17" s="104"/>
      <c r="O17" s="104"/>
      <c r="P17" s="104"/>
      <c r="Q17" s="104"/>
      <c r="R17" s="104"/>
      <c r="S17" s="104"/>
      <c r="T17" s="105"/>
      <c r="U17" s="105"/>
      <c r="V17" s="105"/>
      <c r="W17" s="105"/>
    </row>
    <row r="18" spans="1:24" ht="19">
      <c r="A18" s="6"/>
      <c r="B18" s="6"/>
      <c r="C18" s="6"/>
      <c r="D18" s="6"/>
      <c r="E18" s="6"/>
      <c r="F18" s="7"/>
      <c r="G18" s="39"/>
      <c r="H18" s="6"/>
      <c r="I18" s="6"/>
      <c r="J18" s="6"/>
      <c r="K18" s="7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4" ht="19">
      <c r="A19" s="32" t="s">
        <v>18</v>
      </c>
      <c r="B19" s="33">
        <v>148844000</v>
      </c>
      <c r="C19" s="33">
        <v>161272000</v>
      </c>
      <c r="D19" s="33">
        <v>132171000</v>
      </c>
      <c r="E19" s="33">
        <v>156385000</v>
      </c>
      <c r="F19" s="33">
        <v>221052000</v>
      </c>
      <c r="G19" s="125">
        <f>(F19*(1+$C$24))</f>
        <v>239247314.59984854</v>
      </c>
      <c r="H19" s="126">
        <f>(G19*(1+$C24))</f>
        <v>258940328.71559137</v>
      </c>
      <c r="I19" s="126">
        <f t="shared" ref="I19:K19" si="19">(H19*(1+$C24))</f>
        <v>280254321.54790407</v>
      </c>
      <c r="J19" s="126">
        <f t="shared" si="19"/>
        <v>303322719.70096862</v>
      </c>
      <c r="K19" s="126">
        <f t="shared" si="19"/>
        <v>328289932.43933249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</row>
    <row r="20" spans="1:24" ht="20" thickBot="1">
      <c r="A20" s="32" t="s">
        <v>19</v>
      </c>
      <c r="B20" s="34">
        <f>(B19/B5)</f>
        <v>3.2605033622763499E-2</v>
      </c>
      <c r="C20" s="34">
        <f t="shared" ref="C20:F20" si="20">(C19/C5)</f>
        <v>4.4027732732290027E-2</v>
      </c>
      <c r="D20" s="34">
        <f t="shared" si="20"/>
        <v>4.0434017670667004E-2</v>
      </c>
      <c r="E20" s="34">
        <f t="shared" si="20"/>
        <v>3.1901764149095894E-2</v>
      </c>
      <c r="F20" s="34">
        <f t="shared" si="20"/>
        <v>2.6890577203663169E-2</v>
      </c>
      <c r="G20" s="34">
        <f>(G19/G5)</f>
        <v>2.5873978850362286E-2</v>
      </c>
      <c r="H20" s="34">
        <f>(H19/H5)</f>
        <v>2.489581300091236E-2</v>
      </c>
      <c r="I20" s="34">
        <f t="shared" ref="I20" si="21">(I19/I5)</f>
        <v>2.3954626714387937E-2</v>
      </c>
      <c r="J20" s="34">
        <f t="shared" ref="J20" si="22">(J19/J5)</f>
        <v>2.3049021978299691E-2</v>
      </c>
      <c r="K20" s="34">
        <f t="shared" ref="K20" si="23">(K19/K5)</f>
        <v>2.2177653632024726E-2</v>
      </c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</row>
    <row r="21" spans="1:24" ht="19">
      <c r="A21" s="6"/>
      <c r="B21" s="6"/>
      <c r="C21" s="6"/>
      <c r="D21" s="6"/>
      <c r="E21" s="6"/>
      <c r="F21" s="7"/>
      <c r="G21" s="57"/>
      <c r="H21" s="6"/>
      <c r="I21" s="6"/>
      <c r="J21" s="6"/>
      <c r="K21" s="7"/>
      <c r="M21" s="106" t="s">
        <v>45</v>
      </c>
      <c r="N21" s="74">
        <f t="shared" ref="N21:W21" si="24">SUM(N4:N15)</f>
        <v>4565062000</v>
      </c>
      <c r="O21" s="74">
        <f t="shared" si="24"/>
        <v>3662964000</v>
      </c>
      <c r="P21" s="74">
        <f t="shared" si="24"/>
        <v>3268807000</v>
      </c>
      <c r="Q21" s="74">
        <f t="shared" si="24"/>
        <v>4902080000</v>
      </c>
      <c r="R21" s="74">
        <f t="shared" si="24"/>
        <v>8220426000</v>
      </c>
      <c r="S21" s="75">
        <f t="shared" si="24"/>
        <v>0</v>
      </c>
      <c r="T21" s="75">
        <f t="shared" si="24"/>
        <v>0</v>
      </c>
      <c r="U21" s="75">
        <f t="shared" si="24"/>
        <v>0</v>
      </c>
      <c r="V21" s="75">
        <f t="shared" si="24"/>
        <v>0</v>
      </c>
      <c r="W21" s="76">
        <f t="shared" si="24"/>
        <v>0</v>
      </c>
      <c r="X21" s="77"/>
    </row>
    <row r="22" spans="1:24" ht="20" thickBot="1">
      <c r="A22" s="6"/>
      <c r="B22" s="6"/>
      <c r="C22" s="6"/>
      <c r="D22" s="6"/>
      <c r="E22" s="6"/>
      <c r="F22" s="7"/>
      <c r="G22" s="58"/>
      <c r="H22" s="6"/>
      <c r="I22" s="6"/>
      <c r="J22" s="6"/>
      <c r="K22" s="7"/>
      <c r="M22" s="107" t="s">
        <v>55</v>
      </c>
      <c r="N22" s="162">
        <v>4565062000</v>
      </c>
      <c r="O22" s="162">
        <v>3662964000</v>
      </c>
      <c r="P22" s="163">
        <v>3268807000</v>
      </c>
      <c r="Q22" s="164">
        <f>E5</f>
        <v>4902080000</v>
      </c>
      <c r="R22" s="164">
        <f>F5</f>
        <v>8220426000</v>
      </c>
      <c r="S22" s="78"/>
      <c r="T22" s="78"/>
      <c r="U22" s="78"/>
      <c r="V22" s="78"/>
      <c r="W22" s="79"/>
      <c r="X22" s="77"/>
    </row>
    <row r="23" spans="1:24" ht="20" thickBot="1">
      <c r="A23" s="340" t="s">
        <v>5</v>
      </c>
      <c r="B23" s="341"/>
      <c r="C23" s="342"/>
      <c r="D23" s="6"/>
      <c r="E23" s="6"/>
      <c r="F23" s="7"/>
      <c r="G23" s="58"/>
      <c r="H23" s="6"/>
      <c r="I23" s="6"/>
      <c r="J23" s="6"/>
      <c r="K23" s="7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4" ht="20" thickBot="1">
      <c r="A24" s="343" t="s">
        <v>20</v>
      </c>
      <c r="B24" s="344"/>
      <c r="C24" s="19">
        <f>(F19/B19)^(1/5) - 1</f>
        <v>8.231237265371294E-2</v>
      </c>
      <c r="D24" s="6"/>
      <c r="E24" s="6"/>
      <c r="F24" s="7"/>
      <c r="G24" s="58"/>
      <c r="H24" s="6"/>
      <c r="I24" s="6"/>
      <c r="J24" s="6"/>
      <c r="K24" s="7"/>
      <c r="M24" s="108" t="s">
        <v>56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</row>
    <row r="25" spans="1:24" ht="20" thickBot="1">
      <c r="A25" s="6"/>
      <c r="B25" s="6"/>
      <c r="C25" s="6"/>
      <c r="D25" s="6"/>
      <c r="E25" s="6"/>
      <c r="F25" s="7"/>
      <c r="G25" s="58"/>
      <c r="H25" s="6"/>
      <c r="I25" s="6"/>
      <c r="J25" s="6"/>
      <c r="K25" s="7"/>
      <c r="M25" s="108" t="s">
        <v>57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</row>
    <row r="26" spans="1:24" ht="25" thickBot="1">
      <c r="A26" s="12" t="s">
        <v>22</v>
      </c>
      <c r="B26" s="13"/>
      <c r="C26" s="22"/>
      <c r="D26" s="22"/>
      <c r="E26" s="22"/>
      <c r="F26" s="23"/>
      <c r="G26" s="22"/>
      <c r="H26" s="22"/>
      <c r="I26" s="22"/>
      <c r="J26" s="22"/>
      <c r="K26" s="23"/>
      <c r="M26" s="108" t="s">
        <v>58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</row>
    <row r="27" spans="1:24" ht="17" thickBot="1">
      <c r="A27" s="2" t="s">
        <v>1</v>
      </c>
      <c r="B27" s="15">
        <v>2019</v>
      </c>
      <c r="C27" s="16">
        <v>2020</v>
      </c>
      <c r="D27" s="16">
        <v>2021</v>
      </c>
      <c r="E27" s="16">
        <v>2022</v>
      </c>
      <c r="F27" s="17">
        <v>2023</v>
      </c>
      <c r="G27" s="16">
        <v>2024</v>
      </c>
      <c r="H27" s="16">
        <v>2025</v>
      </c>
      <c r="I27" s="16">
        <v>2026</v>
      </c>
      <c r="J27" s="16">
        <v>2027</v>
      </c>
      <c r="K27" s="17">
        <v>2028</v>
      </c>
      <c r="T27" s="6"/>
      <c r="U27" s="6"/>
      <c r="V27" s="6"/>
      <c r="W27" s="6"/>
    </row>
    <row r="28" spans="1:24" ht="19">
      <c r="A28" s="26" t="s">
        <v>23</v>
      </c>
      <c r="B28" s="175">
        <v>192128000</v>
      </c>
      <c r="C28" s="175">
        <v>223127000</v>
      </c>
      <c r="D28" s="175">
        <v>225208000</v>
      </c>
      <c r="E28" s="176">
        <v>111543000</v>
      </c>
      <c r="F28" s="176">
        <v>120245000</v>
      </c>
      <c r="G28" s="159">
        <f>(F28+(F28*0.1103))</f>
        <v>133508023.5</v>
      </c>
      <c r="H28" s="159">
        <f t="shared" ref="H28:K28" si="25">(G28+(G28*0.1103))</f>
        <v>148233958.49204999</v>
      </c>
      <c r="I28" s="159">
        <f t="shared" si="25"/>
        <v>164584164.1137231</v>
      </c>
      <c r="J28" s="159">
        <f t="shared" si="25"/>
        <v>182737797.41546676</v>
      </c>
      <c r="K28" s="159">
        <f t="shared" si="25"/>
        <v>202893776.47039273</v>
      </c>
      <c r="T28" s="6"/>
      <c r="U28" s="6"/>
      <c r="V28" s="6"/>
      <c r="W28" s="6"/>
    </row>
    <row r="29" spans="1:24" ht="19">
      <c r="A29" s="32" t="s">
        <v>24</v>
      </c>
      <c r="B29" s="35">
        <f t="shared" ref="B29:K29" si="26">(B28/B5)</f>
        <v>4.2086613500539535E-2</v>
      </c>
      <c r="C29" s="35">
        <f t="shared" si="26"/>
        <v>6.0914330580371524E-2</v>
      </c>
      <c r="D29" s="35">
        <f t="shared" si="26"/>
        <v>6.8896083494681695E-2</v>
      </c>
      <c r="E29" s="35">
        <f t="shared" si="26"/>
        <v>2.2754218617403225E-2</v>
      </c>
      <c r="F29" s="35">
        <f t="shared" si="26"/>
        <v>1.4627587426734333E-2</v>
      </c>
      <c r="G29" s="52">
        <f t="shared" si="26"/>
        <v>1.4438547752020862E-2</v>
      </c>
      <c r="H29" s="35">
        <f t="shared" si="26"/>
        <v>1.4251951132171687E-2</v>
      </c>
      <c r="I29" s="35">
        <f t="shared" si="26"/>
        <v>1.406776599435915E-2</v>
      </c>
      <c r="J29" s="35">
        <f t="shared" si="26"/>
        <v>1.3885961173787138E-2</v>
      </c>
      <c r="K29" s="35">
        <f t="shared" si="26"/>
        <v>1.3706505908417883E-2</v>
      </c>
      <c r="T29" s="6"/>
      <c r="U29" s="6"/>
      <c r="V29" s="6"/>
      <c r="W29" s="6"/>
    </row>
    <row r="30" spans="1:24" ht="19">
      <c r="A30" s="151" t="s">
        <v>89</v>
      </c>
      <c r="B30" s="156"/>
      <c r="C30" s="157">
        <f>((C28-B28)/((C28+B28)/2))*100</f>
        <v>14.930103189606386</v>
      </c>
      <c r="D30" s="157">
        <f t="shared" ref="D30:F30" si="27">((D28-C28)/((D28+C28)/2))*100</f>
        <v>0.92832368652904629</v>
      </c>
      <c r="E30" s="157">
        <f t="shared" si="27"/>
        <v>-67.506852243942845</v>
      </c>
      <c r="F30" s="157">
        <f t="shared" si="27"/>
        <v>7.5085854315150051</v>
      </c>
      <c r="G30" s="48">
        <v>11.03</v>
      </c>
      <c r="H30" s="48">
        <v>11.03</v>
      </c>
      <c r="I30" s="158">
        <v>11.03</v>
      </c>
      <c r="J30" s="158">
        <v>11.03</v>
      </c>
      <c r="K30" s="158">
        <v>11.03</v>
      </c>
      <c r="T30" s="6"/>
      <c r="U30" s="6"/>
      <c r="V30" s="6"/>
      <c r="W30" s="6"/>
    </row>
    <row r="31" spans="1:24" ht="17" thickBot="1">
      <c r="A31" s="150" t="s">
        <v>25</v>
      </c>
      <c r="B31" s="152">
        <f>STDEV(B28,C28,D28,E28,F28,G28)</f>
        <v>52058993.64745912</v>
      </c>
      <c r="C31" s="153"/>
      <c r="D31" s="154" t="s">
        <v>90</v>
      </c>
      <c r="E31" s="155">
        <f>AVERAGE(C30:F30)</f>
        <v>-11.034959984073101</v>
      </c>
      <c r="F31" s="7"/>
      <c r="G31" s="58"/>
      <c r="H31" s="6"/>
      <c r="I31" s="6"/>
      <c r="J31" s="6"/>
      <c r="K31" s="7"/>
      <c r="T31" s="6"/>
      <c r="U31" s="6"/>
      <c r="V31" s="6"/>
      <c r="W31" s="6"/>
    </row>
    <row r="32" spans="1:24" ht="17" thickBot="1">
      <c r="A32" s="24" t="s">
        <v>25</v>
      </c>
      <c r="B32" s="36">
        <f>STDEV(B28,C28,D28,E28,F28,G28,H28,I28,J28,K28)</f>
        <v>41271549.956402309</v>
      </c>
      <c r="C32" s="25"/>
      <c r="D32" s="6"/>
      <c r="E32" s="6"/>
      <c r="F32" s="7"/>
      <c r="G32" s="58"/>
      <c r="H32" s="6"/>
      <c r="I32" s="6"/>
      <c r="J32" s="6"/>
      <c r="K32" s="7"/>
      <c r="T32" s="6"/>
      <c r="U32" s="6"/>
      <c r="V32" s="6"/>
      <c r="W32" s="6"/>
    </row>
    <row r="33" spans="1:23">
      <c r="A33" s="6"/>
      <c r="B33" s="6"/>
      <c r="C33" s="6"/>
      <c r="D33" s="6"/>
      <c r="E33" s="6"/>
      <c r="F33" s="7"/>
      <c r="G33" s="39"/>
      <c r="H33" s="6"/>
      <c r="I33" s="6"/>
      <c r="J33" s="6"/>
      <c r="K33" s="8"/>
      <c r="T33" s="6"/>
      <c r="U33" s="6"/>
      <c r="V33" s="6"/>
      <c r="W33" s="6"/>
    </row>
    <row r="34" spans="1:23" ht="19">
      <c r="A34" s="32" t="s">
        <v>26</v>
      </c>
      <c r="B34" s="182">
        <v>-67337000</v>
      </c>
      <c r="C34" s="182">
        <v>-359592000</v>
      </c>
      <c r="D34" s="182">
        <v>-262038000</v>
      </c>
      <c r="E34" s="173">
        <v>23252000</v>
      </c>
      <c r="F34" s="174">
        <v>433254000</v>
      </c>
      <c r="G34" s="159">
        <f>(F34+(F34*0.1103))</f>
        <v>481041916.19999999</v>
      </c>
      <c r="H34" s="184">
        <f t="shared" ref="H34:K34" si="28">(G34+(G34*0.1103))</f>
        <v>534100839.55685997</v>
      </c>
      <c r="I34" s="184">
        <f t="shared" si="28"/>
        <v>593012162.15998161</v>
      </c>
      <c r="J34" s="184">
        <f t="shared" si="28"/>
        <v>658421403.6462276</v>
      </c>
      <c r="K34" s="159">
        <f t="shared" si="28"/>
        <v>731045284.46840644</v>
      </c>
      <c r="T34" s="6"/>
      <c r="U34" s="6"/>
      <c r="V34" s="6"/>
      <c r="W34" s="6"/>
    </row>
    <row r="35" spans="1:23" ht="19">
      <c r="A35" s="32" t="s">
        <v>24</v>
      </c>
      <c r="B35" s="35">
        <f t="shared" ref="B35:K35" si="29">(B34/B5)</f>
        <v>-1.4750511603128283E-2</v>
      </c>
      <c r="C35" s="35">
        <f t="shared" si="29"/>
        <v>-9.8169678981284009E-2</v>
      </c>
      <c r="D35" s="35">
        <f t="shared" si="29"/>
        <v>-8.0163191035750966E-2</v>
      </c>
      <c r="E35" s="35">
        <f t="shared" si="29"/>
        <v>4.7432926431229191E-3</v>
      </c>
      <c r="F35" s="35">
        <f t="shared" si="29"/>
        <v>5.2704567865460988E-2</v>
      </c>
      <c r="G35" s="35">
        <f t="shared" si="29"/>
        <v>5.2023440207526687E-2</v>
      </c>
      <c r="H35" s="35">
        <f t="shared" si="29"/>
        <v>5.1351115105142939E-2</v>
      </c>
      <c r="I35" s="35">
        <f t="shared" si="29"/>
        <v>5.0687478798453818E-2</v>
      </c>
      <c r="J35" s="35">
        <f t="shared" si="29"/>
        <v>5.0032418997779313E-2</v>
      </c>
      <c r="K35" s="35">
        <f t="shared" si="29"/>
        <v>4.9385824864615423E-2</v>
      </c>
      <c r="L35" s="39"/>
      <c r="M35" s="38"/>
      <c r="N35" s="38"/>
      <c r="O35" s="38"/>
      <c r="P35" s="38"/>
      <c r="Q35" s="38"/>
      <c r="R35" s="38"/>
      <c r="S35" s="38"/>
      <c r="T35" s="37"/>
      <c r="U35" s="37"/>
      <c r="V35" t="s">
        <v>39</v>
      </c>
    </row>
    <row r="36" spans="1:23">
      <c r="A36" s="183">
        <f>AVERAGE(B35:F35)</f>
        <v>-2.7127104222315866E-2</v>
      </c>
      <c r="B36" s="6"/>
      <c r="C36" s="6"/>
      <c r="D36" s="6"/>
      <c r="E36" s="6"/>
      <c r="F36" s="7"/>
      <c r="G36" s="57"/>
      <c r="H36" s="6"/>
      <c r="I36" s="6"/>
      <c r="J36" s="6"/>
      <c r="K36" s="10"/>
    </row>
    <row r="37" spans="1:23">
      <c r="A37" s="6"/>
      <c r="B37" s="6"/>
      <c r="C37" s="6"/>
      <c r="D37" s="6"/>
      <c r="E37" s="6"/>
      <c r="F37" s="7"/>
      <c r="G37" s="58"/>
      <c r="H37" s="6"/>
      <c r="I37" s="6"/>
      <c r="J37" s="6"/>
      <c r="K37" s="7"/>
    </row>
    <row r="38" spans="1:23">
      <c r="A38" s="6"/>
      <c r="B38" s="6"/>
      <c r="C38" s="6"/>
      <c r="D38" s="6"/>
      <c r="E38" s="6"/>
      <c r="F38" s="7"/>
      <c r="G38" s="58"/>
      <c r="H38" s="6"/>
      <c r="I38" s="6"/>
      <c r="J38" s="6"/>
      <c r="K38" s="7"/>
    </row>
    <row r="39" spans="1:23">
      <c r="A39" s="6"/>
      <c r="B39" s="6"/>
      <c r="C39" s="6"/>
      <c r="D39" s="6"/>
      <c r="E39" s="6"/>
      <c r="F39" s="7"/>
      <c r="G39" s="39"/>
      <c r="H39" s="6"/>
      <c r="I39" s="6"/>
      <c r="J39" s="6"/>
      <c r="K39" s="8"/>
    </row>
    <row r="40" spans="1:23" ht="19">
      <c r="A40" s="32" t="s">
        <v>38</v>
      </c>
      <c r="B40" s="256">
        <f>CFS!C39</f>
        <v>1062824000</v>
      </c>
      <c r="C40" s="256">
        <f>CFS!D39</f>
        <v>1203982000</v>
      </c>
      <c r="D40" s="256">
        <f>CFS!E39</f>
        <v>-485173000</v>
      </c>
      <c r="E40" s="256">
        <f>CFS!F39</f>
        <v>195217000</v>
      </c>
      <c r="F40" s="256">
        <f>CFS!G39</f>
        <v>6993632000</v>
      </c>
      <c r="G40" s="159">
        <f>(F40+(F40*0.1103))</f>
        <v>7765029609.6000004</v>
      </c>
      <c r="H40" s="184">
        <f t="shared" ref="H40:K40" si="30">(G40+(G40*0.1103))</f>
        <v>8621512375.5388794</v>
      </c>
      <c r="I40" s="184">
        <f t="shared" si="30"/>
        <v>9572465190.5608177</v>
      </c>
      <c r="J40" s="184">
        <f t="shared" si="30"/>
        <v>10628308101.079676</v>
      </c>
      <c r="K40" s="159">
        <f t="shared" si="30"/>
        <v>11800610484.628763</v>
      </c>
    </row>
    <row r="41" spans="1:23" ht="19">
      <c r="A41" s="32" t="s">
        <v>24</v>
      </c>
      <c r="B41" s="30">
        <f t="shared" ref="B41:G41" si="31">(B40/B5)</f>
        <v>0.23281699131359004</v>
      </c>
      <c r="C41" s="30">
        <f t="shared" si="31"/>
        <v>0.32869064506230472</v>
      </c>
      <c r="D41" s="30">
        <f t="shared" si="31"/>
        <v>-0.14842509820861249</v>
      </c>
      <c r="E41" s="30">
        <f t="shared" si="31"/>
        <v>3.9823299497356225E-2</v>
      </c>
      <c r="F41" s="30">
        <f t="shared" si="31"/>
        <v>0.85076272202924763</v>
      </c>
      <c r="G41" s="56">
        <f t="shared" si="31"/>
        <v>0.83976788716421613</v>
      </c>
      <c r="H41" s="30">
        <f t="shared" ref="H41" si="32">(H40/H5)</f>
        <v>0.82891514408409617</v>
      </c>
      <c r="I41" s="30">
        <f t="shared" ref="I41" si="33">(I40/I5)</f>
        <v>0.81820265646523327</v>
      </c>
      <c r="J41" s="30">
        <f t="shared" ref="J41" si="34">(J40/J5)</f>
        <v>0.80762861171570788</v>
      </c>
      <c r="K41" s="30">
        <f t="shared" ref="K41" si="35">(K40/K5)</f>
        <v>0.7971912206686379</v>
      </c>
    </row>
    <row r="42" spans="1:23">
      <c r="A42" s="6"/>
      <c r="B42" s="6"/>
      <c r="C42" s="6"/>
      <c r="D42" s="6"/>
      <c r="E42" s="6"/>
      <c r="F42" s="7"/>
      <c r="G42" s="57"/>
      <c r="H42" s="6"/>
      <c r="I42" s="6"/>
      <c r="J42" s="6"/>
      <c r="K42" s="10"/>
    </row>
    <row r="43" spans="1:23">
      <c r="A43" s="6"/>
      <c r="B43" s="257"/>
      <c r="C43" s="6"/>
      <c r="D43" s="6"/>
      <c r="E43" s="6"/>
      <c r="F43" s="7"/>
      <c r="G43" s="61"/>
      <c r="H43" s="6"/>
      <c r="I43" s="6"/>
      <c r="J43" s="6"/>
      <c r="K43" s="7"/>
    </row>
    <row r="44" spans="1:23">
      <c r="A44" s="6"/>
      <c r="B44" s="257"/>
      <c r="C44" s="6"/>
      <c r="D44" s="6"/>
      <c r="E44" s="6"/>
      <c r="F44" s="7"/>
      <c r="G44" s="58"/>
      <c r="H44" s="6"/>
      <c r="I44" s="6"/>
      <c r="J44" s="6"/>
      <c r="K44" s="7"/>
    </row>
    <row r="45" spans="1:23">
      <c r="A45" s="6"/>
      <c r="B45" s="6"/>
      <c r="C45" s="6"/>
      <c r="D45" s="6"/>
      <c r="E45" s="6"/>
      <c r="F45" s="7"/>
      <c r="G45" s="58"/>
      <c r="H45" s="6"/>
      <c r="I45" s="6"/>
      <c r="J45" s="6"/>
      <c r="K45" s="7"/>
    </row>
    <row r="46" spans="1:23">
      <c r="A46" s="6"/>
      <c r="B46" s="6"/>
      <c r="C46" s="6"/>
      <c r="D46" s="6"/>
      <c r="E46" s="6"/>
      <c r="F46" s="7"/>
      <c r="G46" s="61"/>
      <c r="H46" s="6"/>
      <c r="I46" s="6"/>
      <c r="J46" s="6"/>
      <c r="K46" s="7"/>
    </row>
    <row r="47" spans="1:23">
      <c r="A47" s="6"/>
      <c r="B47" s="6"/>
      <c r="C47" s="6"/>
      <c r="D47" s="6"/>
      <c r="E47" s="6"/>
      <c r="F47" s="7"/>
      <c r="G47" s="58"/>
      <c r="H47" s="6"/>
      <c r="I47" s="6"/>
      <c r="J47" s="6"/>
      <c r="K47" s="7"/>
    </row>
    <row r="48" spans="1:23" ht="25" thickBot="1">
      <c r="A48" s="12" t="s">
        <v>40</v>
      </c>
      <c r="B48" s="13"/>
      <c r="C48" s="22"/>
      <c r="D48" s="22"/>
      <c r="E48" s="22"/>
      <c r="F48" s="23"/>
      <c r="G48" s="62"/>
      <c r="H48" s="22"/>
      <c r="I48" s="22"/>
      <c r="J48" s="22"/>
      <c r="K48" s="23"/>
    </row>
    <row r="49" spans="1:11" ht="17" thickBot="1">
      <c r="A49" s="2" t="s">
        <v>1</v>
      </c>
      <c r="B49" s="15" t="s">
        <v>7</v>
      </c>
      <c r="C49" s="16" t="s">
        <v>8</v>
      </c>
      <c r="D49" s="16" t="s">
        <v>9</v>
      </c>
      <c r="E49" s="16" t="s">
        <v>10</v>
      </c>
      <c r="F49" s="17" t="s">
        <v>11</v>
      </c>
      <c r="G49" s="15" t="s">
        <v>12</v>
      </c>
      <c r="H49" s="16">
        <v>2025</v>
      </c>
      <c r="I49" s="16">
        <v>2026</v>
      </c>
      <c r="J49" s="16">
        <v>2027</v>
      </c>
      <c r="K49" s="17">
        <v>2028</v>
      </c>
    </row>
    <row r="50" spans="1:11" ht="19">
      <c r="A50" s="26" t="s">
        <v>2</v>
      </c>
      <c r="B50" s="42">
        <f>B5</f>
        <v>4565062000</v>
      </c>
      <c r="C50" s="42">
        <f t="shared" ref="C50:F50" si="36">C5</f>
        <v>3662964000</v>
      </c>
      <c r="D50" s="42">
        <f t="shared" si="36"/>
        <v>3268807000</v>
      </c>
      <c r="E50" s="42">
        <f t="shared" si="36"/>
        <v>4902080000</v>
      </c>
      <c r="F50" s="42">
        <f t="shared" si="36"/>
        <v>8220426000</v>
      </c>
      <c r="G50" s="127">
        <f>(F50*(1+$C$8))</f>
        <v>9246637943.9936275</v>
      </c>
      <c r="H50" s="283">
        <f>(G50*(1+$C8))</f>
        <v>10400958936.593151</v>
      </c>
      <c r="I50" s="283">
        <f>(H50*(1+$C8))</f>
        <v>11699381705.646622</v>
      </c>
      <c r="J50" s="283">
        <f t="shared" ref="J50:K50" si="37">(I50*(1+$C8))</f>
        <v>13159895460.49036</v>
      </c>
      <c r="K50" s="283">
        <f t="shared" si="37"/>
        <v>14802735126.374187</v>
      </c>
    </row>
    <row r="51" spans="1:11" ht="19">
      <c r="A51" s="32" t="s">
        <v>123</v>
      </c>
      <c r="B51" s="32" t="s">
        <v>3</v>
      </c>
      <c r="C51" s="30">
        <f>(C50-B50)/B50</f>
        <v>-0.19760914528652623</v>
      </c>
      <c r="D51" s="30">
        <f t="shared" ref="D51" si="38">(D50-C50)/C50</f>
        <v>-0.10760602615805125</v>
      </c>
      <c r="E51" s="30">
        <f t="shared" ref="E51" si="39">(E50-D50)/D50</f>
        <v>0.49965415517037254</v>
      </c>
      <c r="F51" s="30">
        <f t="shared" ref="F51" si="40">(F50-E50)/E50</f>
        <v>0.67692612115673345</v>
      </c>
      <c r="G51" s="31">
        <f t="shared" ref="G51" si="41">(G50-F50)/F50</f>
        <v>0.12483683254293969</v>
      </c>
      <c r="H51" s="30">
        <f>(H50-G50)/G50</f>
        <v>0.12483683254293958</v>
      </c>
      <c r="I51" s="30">
        <f t="shared" ref="I51:K51" si="42">(I50-H50)/H50</f>
        <v>0.12483683254293963</v>
      </c>
      <c r="J51" s="30">
        <f t="shared" si="42"/>
        <v>0.12483683254293962</v>
      </c>
      <c r="K51" s="30">
        <f t="shared" si="42"/>
        <v>0.12483683254293969</v>
      </c>
    </row>
    <row r="52" spans="1:11">
      <c r="A52" s="6"/>
      <c r="B52" s="6"/>
      <c r="C52" s="6"/>
      <c r="D52" s="6"/>
      <c r="E52" s="6"/>
      <c r="F52" s="7"/>
      <c r="G52" s="57"/>
      <c r="H52" s="6"/>
      <c r="I52" s="6"/>
      <c r="J52" s="6"/>
      <c r="K52" s="10"/>
    </row>
    <row r="53" spans="1:11">
      <c r="A53" s="6"/>
      <c r="B53" s="6"/>
      <c r="C53" s="6"/>
      <c r="D53" s="6"/>
      <c r="E53" s="6"/>
      <c r="F53" s="7"/>
      <c r="G53" s="39"/>
      <c r="H53" s="6"/>
      <c r="I53" s="6"/>
      <c r="J53" s="6"/>
      <c r="K53" s="8"/>
    </row>
    <row r="54" spans="1:11" ht="19">
      <c r="A54" s="32" t="s">
        <v>16</v>
      </c>
      <c r="B54" s="43">
        <f>B12</f>
        <v>443401000</v>
      </c>
      <c r="C54" s="43">
        <f t="shared" ref="C54:F54" si="43">C12</f>
        <v>355655000</v>
      </c>
      <c r="D54" s="43">
        <f t="shared" si="43"/>
        <v>434886000</v>
      </c>
      <c r="E54" s="43">
        <f t="shared" si="43"/>
        <v>446678000</v>
      </c>
      <c r="F54" s="43">
        <f t="shared" si="43"/>
        <v>694787000</v>
      </c>
      <c r="G54" s="125">
        <f>(F54*(1+$C$17))</f>
        <v>760085918.86599612</v>
      </c>
      <c r="H54" s="125">
        <f t="shared" ref="H54:K54" si="44">(G54*(1+$C$17))</f>
        <v>831521896.72283113</v>
      </c>
      <c r="I54" s="125">
        <f t="shared" si="44"/>
        <v>909671719.43022692</v>
      </c>
      <c r="J54" s="125">
        <f t="shared" si="44"/>
        <v>995166381.5378449</v>
      </c>
      <c r="K54" s="125">
        <f t="shared" si="44"/>
        <v>1088696181.0392845</v>
      </c>
    </row>
    <row r="55" spans="1:11" ht="19">
      <c r="A55" s="32" t="s">
        <v>44</v>
      </c>
      <c r="B55" s="30">
        <f>B54/B50</f>
        <v>9.7129239427635378E-2</v>
      </c>
      <c r="C55" s="30">
        <f t="shared" ref="C55:F55" si="45">C54/C50</f>
        <v>9.7094866343212766E-2</v>
      </c>
      <c r="D55" s="30">
        <f t="shared" si="45"/>
        <v>0.13304119821084573</v>
      </c>
      <c r="E55" s="30">
        <f t="shared" si="45"/>
        <v>9.1120095959266276E-2</v>
      </c>
      <c r="F55" s="30">
        <f t="shared" si="45"/>
        <v>8.4519585724632765E-2</v>
      </c>
      <c r="G55" s="30">
        <f t="shared" ref="G55" si="46">G54/G50</f>
        <v>8.2201328036178592E-2</v>
      </c>
      <c r="H55" s="30">
        <f t="shared" ref="H55" si="47">H54/H50</f>
        <v>7.9946657014223085E-2</v>
      </c>
      <c r="I55" s="30">
        <f t="shared" ref="I55" si="48">I54/I50</f>
        <v>7.775382856268212E-2</v>
      </c>
      <c r="J55" s="30">
        <f t="shared" ref="J55" si="49">J54/J50</f>
        <v>7.562114642366341E-2</v>
      </c>
      <c r="K55" s="30">
        <f t="shared" ref="K55" si="50">K54/K50</f>
        <v>7.3546960865329761E-2</v>
      </c>
    </row>
    <row r="56" spans="1:11">
      <c r="A56" s="6"/>
      <c r="B56" s="6"/>
      <c r="C56" s="6"/>
      <c r="D56" s="6"/>
      <c r="E56" s="6"/>
      <c r="F56" s="7"/>
      <c r="G56" s="65"/>
      <c r="H56" s="65"/>
      <c r="I56" s="6"/>
      <c r="J56" s="6"/>
      <c r="K56" s="10"/>
    </row>
    <row r="57" spans="1:11">
      <c r="A57" s="6"/>
      <c r="B57" s="6"/>
      <c r="C57" s="6"/>
      <c r="D57" s="6"/>
      <c r="E57" s="6"/>
      <c r="F57" s="7"/>
      <c r="G57" s="38"/>
      <c r="H57" s="38"/>
      <c r="I57" s="6"/>
      <c r="J57" s="6"/>
      <c r="K57" s="8"/>
    </row>
    <row r="58" spans="1:11" ht="19">
      <c r="A58" s="32" t="s">
        <v>18</v>
      </c>
      <c r="B58" s="43">
        <f>B19</f>
        <v>148844000</v>
      </c>
      <c r="C58" s="43">
        <f t="shared" ref="C58:F58" si="51">C19</f>
        <v>161272000</v>
      </c>
      <c r="D58" s="43">
        <f t="shared" si="51"/>
        <v>132171000</v>
      </c>
      <c r="E58" s="43">
        <f t="shared" si="51"/>
        <v>156385000</v>
      </c>
      <c r="F58" s="43">
        <f t="shared" si="51"/>
        <v>221052000</v>
      </c>
      <c r="G58" s="284">
        <f>(F58*(1+$C$24))</f>
        <v>239247314.59984854</v>
      </c>
      <c r="H58" s="284">
        <f t="shared" ref="H58:K58" si="52">(G58*(1+$C$24))</f>
        <v>258940328.71559137</v>
      </c>
      <c r="I58" s="284">
        <f t="shared" si="52"/>
        <v>280254321.54790407</v>
      </c>
      <c r="J58" s="284">
        <f t="shared" si="52"/>
        <v>303322719.70096862</v>
      </c>
      <c r="K58" s="284">
        <f t="shared" si="52"/>
        <v>328289932.43933249</v>
      </c>
    </row>
    <row r="59" spans="1:11" ht="19">
      <c r="A59" s="32" t="s">
        <v>19</v>
      </c>
      <c r="B59" s="258">
        <f>(B58/B50)</f>
        <v>3.2605033622763499E-2</v>
      </c>
      <c r="C59" s="258">
        <f t="shared" ref="C59:F59" si="53">(C58/C50)</f>
        <v>4.4027732732290027E-2</v>
      </c>
      <c r="D59" s="258">
        <f t="shared" si="53"/>
        <v>4.0434017670667004E-2</v>
      </c>
      <c r="E59" s="258">
        <f t="shared" si="53"/>
        <v>3.1901764149095894E-2</v>
      </c>
      <c r="F59" s="258">
        <f t="shared" si="53"/>
        <v>2.6890577203663169E-2</v>
      </c>
      <c r="G59" s="258">
        <f t="shared" ref="G59" si="54">(G58/G50)</f>
        <v>2.5873978850362286E-2</v>
      </c>
      <c r="H59" s="258">
        <f t="shared" ref="H59" si="55">(H58/H50)</f>
        <v>2.489581300091236E-2</v>
      </c>
      <c r="I59" s="258">
        <f t="shared" ref="I59" si="56">(I58/I50)</f>
        <v>2.3954626714387937E-2</v>
      </c>
      <c r="J59" s="258">
        <f t="shared" ref="J59" si="57">(J58/J50)</f>
        <v>2.3049021978299691E-2</v>
      </c>
      <c r="K59" s="258">
        <f t="shared" ref="K59" si="58">(K58/K50)</f>
        <v>2.2177653632024726E-2</v>
      </c>
    </row>
    <row r="60" spans="1:11">
      <c r="A60" s="6"/>
      <c r="B60" s="6"/>
      <c r="C60" s="6"/>
      <c r="D60" s="6"/>
      <c r="E60" s="6"/>
      <c r="F60" s="7"/>
      <c r="G60" s="57"/>
      <c r="H60" s="6"/>
      <c r="I60" s="6"/>
      <c r="J60" s="6"/>
      <c r="K60" s="10"/>
    </row>
    <row r="61" spans="1:11" ht="17" thickBot="1">
      <c r="A61" s="6"/>
      <c r="B61" s="6"/>
      <c r="C61" s="6"/>
      <c r="D61" s="6"/>
      <c r="E61" s="6"/>
      <c r="F61" s="7"/>
      <c r="G61" s="63"/>
      <c r="H61" s="6"/>
      <c r="I61" s="6"/>
      <c r="J61" s="6"/>
      <c r="K61" s="7"/>
    </row>
    <row r="62" spans="1:11" ht="23" thickBot="1">
      <c r="A62" s="40" t="s">
        <v>41</v>
      </c>
      <c r="B62" s="41"/>
      <c r="C62" s="41"/>
      <c r="D62" s="41"/>
      <c r="E62" s="41"/>
      <c r="F62" s="55"/>
      <c r="G62" s="41"/>
      <c r="H62" s="44">
        <f>(H54-H58)</f>
        <v>572581568.00723982</v>
      </c>
      <c r="I62" s="45">
        <f t="shared" ref="I62:K62" si="59">(I54-I58)</f>
        <v>629417397.88232279</v>
      </c>
      <c r="J62" s="45">
        <f t="shared" si="59"/>
        <v>691843661.83687627</v>
      </c>
      <c r="K62" s="46">
        <f t="shared" si="59"/>
        <v>760406248.59995198</v>
      </c>
    </row>
    <row r="63" spans="1:11">
      <c r="A63" s="6"/>
      <c r="B63" s="6"/>
      <c r="C63" s="6"/>
      <c r="D63" s="6"/>
      <c r="E63" s="6"/>
      <c r="F63" s="7"/>
      <c r="G63" s="64"/>
      <c r="H63" s="6"/>
      <c r="I63" s="6"/>
      <c r="J63" s="6"/>
      <c r="K63" s="6"/>
    </row>
    <row r="64" spans="1:11">
      <c r="A64" s="6"/>
      <c r="B64" s="6"/>
      <c r="C64" s="6"/>
      <c r="D64" s="6"/>
      <c r="E64" s="6"/>
      <c r="F64" s="7"/>
      <c r="G64" s="58"/>
      <c r="H64" s="6"/>
      <c r="I64" s="6"/>
      <c r="J64" s="6"/>
      <c r="K64" s="6"/>
    </row>
    <row r="65" spans="1:11" ht="19">
      <c r="A65" s="48" t="s">
        <v>42</v>
      </c>
      <c r="B65" s="175">
        <v>192128000</v>
      </c>
      <c r="C65" s="175">
        <v>223127000</v>
      </c>
      <c r="D65" s="175">
        <v>225208000</v>
      </c>
      <c r="E65" s="259">
        <v>111543000</v>
      </c>
      <c r="F65" s="33">
        <v>221052000</v>
      </c>
      <c r="G65" s="260">
        <f>(F65*(1+$C$8))</f>
        <v>248647431.5072819</v>
      </c>
      <c r="H65" s="260">
        <f t="shared" ref="H65:K65" si="60">(G65*(1+$C$8))</f>
        <v>279687789.2765885</v>
      </c>
      <c r="I65" s="260">
        <f t="shared" si="60"/>
        <v>314603126.99081498</v>
      </c>
      <c r="J65" s="260">
        <f t="shared" si="60"/>
        <v>353877184.87245256</v>
      </c>
      <c r="K65" s="260">
        <f t="shared" si="60"/>
        <v>398054091.7411418</v>
      </c>
    </row>
    <row r="66" spans="1:11" ht="19">
      <c r="A66" s="49" t="s">
        <v>43</v>
      </c>
      <c r="B66" s="51">
        <f>(B65/B50)</f>
        <v>4.2086613500539535E-2</v>
      </c>
      <c r="C66" s="51">
        <f t="shared" ref="C66:K66" si="61">(C65/C50)</f>
        <v>6.0914330580371524E-2</v>
      </c>
      <c r="D66" s="51">
        <f t="shared" si="61"/>
        <v>6.8896083494681695E-2</v>
      </c>
      <c r="E66" s="51">
        <f t="shared" si="61"/>
        <v>2.2754218617403225E-2</v>
      </c>
      <c r="F66" s="51">
        <f t="shared" si="61"/>
        <v>2.6890577203663169E-2</v>
      </c>
      <c r="G66" s="53">
        <f t="shared" si="61"/>
        <v>2.6890577203663169E-2</v>
      </c>
      <c r="H66" s="53">
        <f t="shared" si="61"/>
        <v>2.6890577203663169E-2</v>
      </c>
      <c r="I66" s="53">
        <f t="shared" si="61"/>
        <v>2.6890577203663172E-2</v>
      </c>
      <c r="J66" s="53">
        <f t="shared" si="61"/>
        <v>2.6890577203663172E-2</v>
      </c>
      <c r="K66" s="53">
        <f t="shared" si="61"/>
        <v>2.6890577203663172E-2</v>
      </c>
    </row>
    <row r="67" spans="1:11" ht="19">
      <c r="A67" s="50"/>
      <c r="B67" s="6"/>
      <c r="C67" s="6"/>
      <c r="D67" s="6"/>
      <c r="E67" s="6"/>
      <c r="F67" s="7"/>
      <c r="G67" s="6"/>
      <c r="H67" s="65"/>
      <c r="I67" s="6"/>
      <c r="J67" s="6"/>
      <c r="K67" s="6"/>
    </row>
    <row r="68" spans="1:11" ht="19">
      <c r="A68" s="47"/>
      <c r="B68" s="6"/>
      <c r="C68" s="6"/>
      <c r="D68" s="6"/>
      <c r="E68" s="6"/>
      <c r="F68" s="7"/>
      <c r="G68" s="6"/>
      <c r="H68" s="6"/>
      <c r="I68" s="6"/>
      <c r="J68" s="6"/>
      <c r="K68" s="6"/>
    </row>
    <row r="69" spans="1:11" ht="19">
      <c r="A69" s="48" t="s">
        <v>26</v>
      </c>
      <c r="B69" s="182">
        <v>-67337000</v>
      </c>
      <c r="C69" s="182">
        <v>-359592000</v>
      </c>
      <c r="D69" s="182">
        <v>-262038000</v>
      </c>
      <c r="E69" s="173">
        <v>23252000</v>
      </c>
      <c r="F69" s="174">
        <v>433254000</v>
      </c>
      <c r="G69" s="260">
        <f>(F69*(1+$C$8))</f>
        <v>487340057.0465588</v>
      </c>
      <c r="H69" s="260">
        <f t="shared" ref="H69:K69" si="62">(G69*(1+$C$8))</f>
        <v>548178046.13954675</v>
      </c>
      <c r="I69" s="260">
        <f t="shared" si="62"/>
        <v>616610857.08918524</v>
      </c>
      <c r="J69" s="260">
        <f t="shared" si="62"/>
        <v>693586603.39978635</v>
      </c>
      <c r="K69" s="260">
        <f t="shared" si="62"/>
        <v>780171758.06243181</v>
      </c>
    </row>
    <row r="70" spans="1:11" ht="19">
      <c r="A70" s="49" t="s">
        <v>43</v>
      </c>
      <c r="B70" s="51">
        <f>(B69/B50)</f>
        <v>-1.4750511603128283E-2</v>
      </c>
      <c r="C70" s="51">
        <f t="shared" ref="C70:K70" si="63">(C69/C50)</f>
        <v>-9.8169678981284009E-2</v>
      </c>
      <c r="D70" s="51">
        <f t="shared" si="63"/>
        <v>-8.0163191035750966E-2</v>
      </c>
      <c r="E70" s="51">
        <f t="shared" si="63"/>
        <v>4.7432926431229191E-3</v>
      </c>
      <c r="F70" s="51">
        <f t="shared" si="63"/>
        <v>5.2704567865460988E-2</v>
      </c>
      <c r="G70" s="53">
        <f t="shared" si="63"/>
        <v>5.2704567865460988E-2</v>
      </c>
      <c r="H70" s="53">
        <f t="shared" si="63"/>
        <v>5.2704567865460995E-2</v>
      </c>
      <c r="I70" s="53">
        <f t="shared" si="63"/>
        <v>5.2704567865461002E-2</v>
      </c>
      <c r="J70" s="53">
        <f t="shared" si="63"/>
        <v>5.2704567865461002E-2</v>
      </c>
      <c r="K70" s="53">
        <f t="shared" si="63"/>
        <v>5.2704567865461002E-2</v>
      </c>
    </row>
    <row r="71" spans="1:11" ht="19">
      <c r="A71" s="50"/>
      <c r="B71" s="6"/>
      <c r="C71" s="6"/>
      <c r="D71" s="6"/>
      <c r="E71" s="6"/>
      <c r="F71" s="7"/>
      <c r="G71" s="6"/>
      <c r="H71" s="65"/>
      <c r="I71" s="6"/>
      <c r="J71" s="6"/>
      <c r="K71" s="6"/>
    </row>
    <row r="72" spans="1:11" ht="19">
      <c r="A72" s="47"/>
      <c r="B72" s="6"/>
      <c r="C72" s="6"/>
      <c r="D72" s="6"/>
      <c r="E72" s="6"/>
      <c r="F72" s="7"/>
      <c r="G72" s="6"/>
      <c r="H72" s="6"/>
      <c r="I72" s="6"/>
      <c r="J72" s="6"/>
      <c r="K72" s="6"/>
    </row>
    <row r="73" spans="1:11" ht="19">
      <c r="A73" s="48" t="s">
        <v>38</v>
      </c>
      <c r="B73" s="256">
        <f>B40</f>
        <v>1062824000</v>
      </c>
      <c r="C73" s="256">
        <f t="shared" ref="C73:F73" si="64">C40</f>
        <v>1203982000</v>
      </c>
      <c r="D73" s="256">
        <f t="shared" si="64"/>
        <v>-485173000</v>
      </c>
      <c r="E73" s="256">
        <f t="shared" si="64"/>
        <v>195217000</v>
      </c>
      <c r="F73" s="256">
        <f t="shared" si="64"/>
        <v>6993632000</v>
      </c>
      <c r="G73" s="260">
        <f>(F73*(1+$C$8))</f>
        <v>7866694866.8509445</v>
      </c>
      <c r="H73" s="260">
        <f t="shared" ref="H73:K73" si="65">(G73*(1+$C$8))</f>
        <v>8848748136.6104183</v>
      </c>
      <c r="I73" s="260">
        <f t="shared" si="65"/>
        <v>9953397825.9551029</v>
      </c>
      <c r="J73" s="260">
        <f t="shared" si="65"/>
        <v>11195948483.58712</v>
      </c>
      <c r="K73" s="260">
        <f t="shared" si="65"/>
        <v>12593615229.592064</v>
      </c>
    </row>
    <row r="74" spans="1:11" ht="19">
      <c r="A74" s="49" t="s">
        <v>43</v>
      </c>
      <c r="B74" s="51">
        <f>(B73/B50)</f>
        <v>0.23281699131359004</v>
      </c>
      <c r="C74" s="51">
        <f t="shared" ref="C74:F74" si="66">(C73/C50)</f>
        <v>0.32869064506230472</v>
      </c>
      <c r="D74" s="51">
        <f t="shared" si="66"/>
        <v>-0.14842509820861249</v>
      </c>
      <c r="E74" s="51">
        <f t="shared" si="66"/>
        <v>3.9823299497356225E-2</v>
      </c>
      <c r="F74" s="51">
        <f t="shared" si="66"/>
        <v>0.85076272202924763</v>
      </c>
      <c r="G74" s="51">
        <f ca="1">AVERAGE($B74:$G74)</f>
        <v>0.359071880287189</v>
      </c>
      <c r="H74" s="51">
        <f ca="1">AVERAGE($B74:$G74)</f>
        <v>0.359071880287189</v>
      </c>
      <c r="I74" s="51">
        <f t="shared" ref="I74:K74" ca="1" si="67">AVERAGE($B74:$G74)</f>
        <v>0.359071880287189</v>
      </c>
      <c r="J74" s="51">
        <f t="shared" ca="1" si="67"/>
        <v>0.359071880287189</v>
      </c>
      <c r="K74" s="51">
        <f t="shared" ca="1" si="67"/>
        <v>0.359071880287189</v>
      </c>
    </row>
    <row r="75" spans="1:11">
      <c r="A75" s="6"/>
      <c r="B75" s="6"/>
      <c r="C75" s="6"/>
      <c r="D75" s="6"/>
      <c r="E75" s="6"/>
      <c r="F75" s="7"/>
      <c r="G75" s="65"/>
      <c r="H75" s="65"/>
      <c r="I75" s="6"/>
      <c r="J75" s="6"/>
      <c r="K75" s="6"/>
    </row>
    <row r="76" spans="1:11" ht="19">
      <c r="A76" s="295"/>
      <c r="B76" s="296"/>
      <c r="C76" s="6"/>
      <c r="D76" s="6"/>
      <c r="E76" s="6"/>
      <c r="F76" s="7"/>
      <c r="H76" s="6"/>
      <c r="I76" s="6"/>
      <c r="J76" s="6"/>
      <c r="K76" s="6"/>
    </row>
    <row r="77" spans="1:11">
      <c r="A77" s="9"/>
      <c r="B77" s="297"/>
      <c r="C77" s="6"/>
      <c r="D77" s="6"/>
      <c r="E77" s="6"/>
      <c r="F77" s="7"/>
      <c r="G77" s="58"/>
      <c r="H77" s="6"/>
      <c r="I77" s="6"/>
      <c r="J77" s="6"/>
      <c r="K77" s="6"/>
    </row>
    <row r="78" spans="1:11">
      <c r="B78" s="6"/>
      <c r="C78" s="6"/>
      <c r="D78" s="6"/>
      <c r="E78" s="6"/>
      <c r="F78" s="7"/>
      <c r="G78" s="58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7"/>
      <c r="G79" s="58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7"/>
      <c r="G80" s="58"/>
      <c r="H80" s="6"/>
      <c r="I80" s="6"/>
      <c r="J80" s="6"/>
      <c r="K80" s="6"/>
    </row>
    <row r="81" spans="1:11" ht="17" thickBot="1">
      <c r="A81" s="6"/>
      <c r="B81" s="6"/>
      <c r="C81" s="6"/>
      <c r="D81" s="6"/>
      <c r="E81" s="6"/>
      <c r="F81" s="7"/>
      <c r="G81" s="63"/>
      <c r="H81" s="6"/>
      <c r="I81" s="6"/>
      <c r="J81" s="6"/>
      <c r="K81" s="6"/>
    </row>
    <row r="82" spans="1:11" ht="23" thickBot="1">
      <c r="A82" s="289" t="s">
        <v>152</v>
      </c>
      <c r="B82" s="41"/>
      <c r="C82" s="41"/>
      <c r="D82" s="41"/>
      <c r="E82" s="41"/>
      <c r="F82" s="55"/>
      <c r="G82" s="282">
        <f>G62+G65-G69-G73</f>
        <v>-8105387492.3902216</v>
      </c>
      <c r="H82" s="282">
        <f t="shared" ref="H82:K82" si="68">H62+H65-H69-H73</f>
        <v>-8544656825.4661369</v>
      </c>
      <c r="I82" s="282">
        <f t="shared" si="68"/>
        <v>-9625988158.1711502</v>
      </c>
      <c r="J82" s="282">
        <f t="shared" si="68"/>
        <v>-10843814240.277578</v>
      </c>
      <c r="K82" s="282">
        <f t="shared" si="68"/>
        <v>-12215326647.313402</v>
      </c>
    </row>
    <row r="83" spans="1:11" ht="22" customHeight="1" thickBot="1">
      <c r="A83" s="288" t="s">
        <v>141</v>
      </c>
      <c r="B83" s="41"/>
      <c r="C83" s="41"/>
      <c r="D83" s="41"/>
      <c r="E83" s="41"/>
      <c r="F83" s="55"/>
      <c r="G83" s="41"/>
      <c r="H83" s="41"/>
      <c r="I83" s="41"/>
      <c r="J83" s="41"/>
      <c r="K83" s="287"/>
    </row>
    <row r="84" spans="1:11">
      <c r="A84" s="6"/>
      <c r="B84" s="6"/>
      <c r="C84" s="6"/>
      <c r="D84" s="6"/>
      <c r="E84" s="6"/>
      <c r="F84" s="7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7"/>
      <c r="G85" s="6"/>
      <c r="H85" s="6"/>
      <c r="I85" s="6"/>
      <c r="J85" s="6"/>
      <c r="K85" s="6"/>
    </row>
    <row r="86" spans="1:11" ht="22">
      <c r="A86" s="290" t="s">
        <v>125</v>
      </c>
      <c r="B86" s="6"/>
      <c r="C86" s="6"/>
      <c r="D86" s="6"/>
      <c r="E86" s="6"/>
      <c r="F86" s="7"/>
      <c r="G86" s="6"/>
      <c r="H86" s="6"/>
      <c r="I86" s="6"/>
      <c r="J86" s="6"/>
      <c r="K86" s="6"/>
    </row>
    <row r="87" spans="1:11" ht="22">
      <c r="A87" s="290" t="s">
        <v>126</v>
      </c>
      <c r="B87" s="6"/>
      <c r="C87" s="6"/>
      <c r="D87" s="6"/>
      <c r="E87" s="6"/>
      <c r="F87" s="7"/>
      <c r="G87" s="6"/>
      <c r="H87" s="6"/>
      <c r="I87" s="6"/>
      <c r="J87" s="6"/>
      <c r="K87" s="6"/>
    </row>
    <row r="88" spans="1:11" ht="22">
      <c r="A88" s="291"/>
      <c r="B88" s="38"/>
      <c r="C88" s="38"/>
      <c r="D88" s="38"/>
      <c r="E88" s="38"/>
      <c r="F88" s="8"/>
      <c r="G88" s="38"/>
      <c r="H88" s="38"/>
      <c r="I88" s="38"/>
      <c r="J88" s="38"/>
      <c r="K88" s="38"/>
    </row>
    <row r="89" spans="1:11" ht="23" thickBot="1">
      <c r="A89" s="292" t="s">
        <v>127</v>
      </c>
      <c r="B89" s="6"/>
      <c r="C89" s="6"/>
      <c r="D89" s="6"/>
      <c r="E89" s="6"/>
      <c r="F89" s="7"/>
      <c r="G89" s="6"/>
      <c r="H89" s="6"/>
      <c r="I89" s="6"/>
      <c r="J89" s="6"/>
      <c r="K89" s="6"/>
    </row>
    <row r="90" spans="1:11" ht="23" thickBot="1">
      <c r="A90" s="293" t="s">
        <v>128</v>
      </c>
      <c r="B90" s="6"/>
      <c r="C90" s="6"/>
      <c r="D90" s="6"/>
      <c r="E90" s="6"/>
      <c r="F90" s="7"/>
      <c r="G90" s="6"/>
      <c r="H90" s="6"/>
      <c r="I90" s="6"/>
      <c r="J90" s="6"/>
      <c r="K90" s="310">
        <f>CFS!G13*1000</f>
        <v>3169446000</v>
      </c>
    </row>
    <row r="91" spans="1:11" ht="23" thickBot="1">
      <c r="A91" s="294" t="s">
        <v>129</v>
      </c>
      <c r="B91" s="38"/>
      <c r="C91" s="38"/>
      <c r="D91" s="38"/>
      <c r="E91" s="38"/>
      <c r="F91" s="8"/>
      <c r="G91" s="38"/>
      <c r="H91" s="38"/>
      <c r="I91" s="38"/>
      <c r="J91" s="38"/>
      <c r="K91" s="311">
        <f>CFS!C40</f>
        <v>1409659000</v>
      </c>
    </row>
    <row r="92" spans="1:11" ht="22">
      <c r="A92" s="290" t="s">
        <v>33</v>
      </c>
      <c r="B92" s="6"/>
      <c r="C92" s="6"/>
      <c r="D92" s="6"/>
      <c r="E92" s="6"/>
      <c r="F92" s="7"/>
      <c r="G92" s="6"/>
      <c r="H92" s="6"/>
      <c r="I92" s="6"/>
      <c r="J92" s="6"/>
      <c r="K92" s="6"/>
    </row>
    <row r="93" spans="1:11" ht="22">
      <c r="A93" s="291" t="s">
        <v>130</v>
      </c>
      <c r="B93" s="38"/>
      <c r="C93" s="38"/>
      <c r="D93" s="38"/>
      <c r="E93" s="38"/>
      <c r="F93" s="8"/>
      <c r="G93" s="38"/>
      <c r="H93" s="38"/>
      <c r="I93" s="38"/>
      <c r="J93" s="38"/>
      <c r="K93" s="38"/>
    </row>
    <row r="94" spans="1:11" ht="22">
      <c r="A94" s="292" t="s">
        <v>131</v>
      </c>
      <c r="B94" s="6"/>
      <c r="C94" s="6"/>
      <c r="D94" s="6"/>
      <c r="E94" s="6"/>
      <c r="F94" s="7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7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7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7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7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7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7"/>
      <c r="G100" s="6"/>
      <c r="H100" s="6"/>
      <c r="I100" s="6"/>
      <c r="J100" s="6"/>
      <c r="K100" s="6"/>
    </row>
    <row r="101" spans="1:11">
      <c r="A101" s="6"/>
      <c r="B101" s="6"/>
      <c r="C101" s="6"/>
      <c r="D101" s="6"/>
      <c r="E101" s="6"/>
      <c r="F101" s="7"/>
      <c r="G101" s="6"/>
      <c r="H101" s="6"/>
      <c r="I101" s="6"/>
      <c r="J101" s="6"/>
      <c r="K101" s="6"/>
    </row>
    <row r="102" spans="1:11">
      <c r="A102" s="6"/>
      <c r="B102" s="6"/>
      <c r="C102" s="6"/>
      <c r="D102" s="6"/>
      <c r="E102" s="6"/>
      <c r="F102" s="7"/>
      <c r="G102" s="6"/>
      <c r="H102" s="6"/>
      <c r="I102" s="6"/>
      <c r="J102" s="6"/>
      <c r="K102" s="6"/>
    </row>
    <row r="103" spans="1:11">
      <c r="A103" s="6"/>
      <c r="B103" s="6"/>
      <c r="C103" s="6"/>
      <c r="D103" s="6"/>
      <c r="E103" s="6"/>
      <c r="F103" s="7"/>
      <c r="G103" s="6"/>
      <c r="H103" s="6"/>
      <c r="I103" s="6"/>
      <c r="J103" s="6"/>
      <c r="K103" s="6"/>
    </row>
    <row r="104" spans="1:11">
      <c r="A104" s="6"/>
      <c r="B104" s="6"/>
      <c r="C104" s="6"/>
      <c r="D104" s="6"/>
      <c r="E104" s="6"/>
      <c r="F104" s="7"/>
      <c r="G104" s="6"/>
      <c r="H104" s="6"/>
      <c r="I104" s="6"/>
      <c r="J104" s="6"/>
      <c r="K104" s="6"/>
    </row>
    <row r="105" spans="1:11">
      <c r="A105" s="6"/>
      <c r="B105" s="6"/>
      <c r="C105" s="6"/>
      <c r="D105" s="6"/>
      <c r="E105" s="6"/>
      <c r="F105" s="7"/>
      <c r="G105" s="6"/>
      <c r="H105" s="6"/>
      <c r="I105" s="6"/>
      <c r="J105" s="6"/>
      <c r="K105" s="6"/>
    </row>
    <row r="106" spans="1:11">
      <c r="A106" s="6"/>
      <c r="B106" s="6"/>
      <c r="C106" s="6"/>
      <c r="D106" s="6"/>
      <c r="E106" s="6"/>
      <c r="F106" s="7"/>
      <c r="G106" s="6"/>
      <c r="H106" s="6"/>
      <c r="I106" s="6"/>
      <c r="J106" s="6"/>
      <c r="K106" s="6"/>
    </row>
  </sheetData>
  <mergeCells count="10">
    <mergeCell ref="X3:AA3"/>
    <mergeCell ref="M2:W2"/>
    <mergeCell ref="A23:C23"/>
    <mergeCell ref="A24:B24"/>
    <mergeCell ref="D1:E1"/>
    <mergeCell ref="A8:B8"/>
    <mergeCell ref="B7:C7"/>
    <mergeCell ref="A17:B17"/>
    <mergeCell ref="A16:C16"/>
    <mergeCell ref="D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9C65-9D4B-EA42-8218-58C1CD3FB585}">
  <dimension ref="A1:G32"/>
  <sheetViews>
    <sheetView showGridLines="0" workbookViewId="0">
      <selection activeCell="B13" sqref="B13"/>
    </sheetView>
  </sheetViews>
  <sheetFormatPr baseColWidth="10" defaultRowHeight="16"/>
  <cols>
    <col min="1" max="1" width="86.5" customWidth="1"/>
    <col min="2" max="2" width="26.1640625" customWidth="1"/>
    <col min="3" max="3" width="29.6640625" customWidth="1"/>
    <col min="4" max="4" width="29.83203125" customWidth="1"/>
    <col min="5" max="5" width="19.1640625" customWidth="1"/>
    <col min="6" max="6" width="20.6640625" customWidth="1"/>
    <col min="7" max="7" width="18" customWidth="1"/>
  </cols>
  <sheetData>
    <row r="1" spans="1:6" ht="18">
      <c r="A1" s="121" t="s">
        <v>51</v>
      </c>
      <c r="B1" s="123">
        <v>2023</v>
      </c>
      <c r="C1" s="123">
        <v>2022</v>
      </c>
      <c r="D1" s="123">
        <v>2021</v>
      </c>
      <c r="E1" s="123">
        <v>2020</v>
      </c>
      <c r="F1" s="123">
        <v>2019</v>
      </c>
    </row>
    <row r="2" spans="1:6" ht="18">
      <c r="A2" s="109" t="s">
        <v>59</v>
      </c>
      <c r="B2" s="111">
        <v>-4477178000</v>
      </c>
      <c r="C2" s="111">
        <v>-1744552000</v>
      </c>
      <c r="D2" s="112">
        <v>-1410639000</v>
      </c>
      <c r="E2" s="112">
        <v>-1400467000</v>
      </c>
      <c r="F2" s="110">
        <v>-1325861000</v>
      </c>
    </row>
    <row r="3" spans="1:6" ht="18">
      <c r="A3" s="109" t="s">
        <v>60</v>
      </c>
      <c r="B3" s="111">
        <v>-1823403000</v>
      </c>
      <c r="C3" s="111">
        <v>-1853970000</v>
      </c>
      <c r="D3" s="112">
        <v>-703855000</v>
      </c>
      <c r="E3" s="112">
        <v>-835445000</v>
      </c>
      <c r="F3" s="113">
        <v>-1626259000</v>
      </c>
    </row>
    <row r="4" spans="1:6" ht="18">
      <c r="A4" s="109" t="s">
        <v>61</v>
      </c>
      <c r="B4" s="111">
        <v>-12165000</v>
      </c>
      <c r="C4" s="111">
        <v>-11741000</v>
      </c>
      <c r="D4" s="112">
        <v>-14122000</v>
      </c>
      <c r="E4" s="112">
        <v>-29429000</v>
      </c>
      <c r="F4" s="112">
        <v>-9905000</v>
      </c>
    </row>
    <row r="5" spans="1:6" ht="18">
      <c r="A5" s="109" t="s">
        <v>62</v>
      </c>
      <c r="B5" s="111">
        <v>-127681000</v>
      </c>
      <c r="C5" s="111">
        <v>-131111000</v>
      </c>
      <c r="D5" s="112">
        <v>-199975000</v>
      </c>
      <c r="E5" s="112">
        <v>-189534000</v>
      </c>
      <c r="F5" s="112">
        <v>-261338000</v>
      </c>
    </row>
    <row r="6" spans="1:6" ht="18">
      <c r="A6" s="109" t="s">
        <v>63</v>
      </c>
      <c r="B6" s="111">
        <v>-83319000</v>
      </c>
      <c r="C6" s="111">
        <v>-73500000</v>
      </c>
      <c r="D6" s="112">
        <v>-89746000</v>
      </c>
      <c r="E6" s="112">
        <v>-72639000</v>
      </c>
      <c r="F6" s="112">
        <v>-92531000</v>
      </c>
    </row>
    <row r="7" spans="1:6" ht="18">
      <c r="A7" s="110" t="s">
        <v>79</v>
      </c>
      <c r="B7" s="119" t="s">
        <v>3</v>
      </c>
      <c r="C7" s="119" t="s">
        <v>3</v>
      </c>
      <c r="D7" s="119" t="s">
        <v>3</v>
      </c>
      <c r="E7" s="112">
        <v>-27611000</v>
      </c>
      <c r="F7" s="112">
        <v>-32907000</v>
      </c>
    </row>
    <row r="8" spans="1:6" ht="18">
      <c r="A8" s="119"/>
      <c r="B8" s="119"/>
      <c r="C8" s="119"/>
      <c r="D8" s="119"/>
      <c r="E8" s="120"/>
      <c r="F8" s="120"/>
    </row>
    <row r="9" spans="1:6" ht="18">
      <c r="A9" s="119"/>
      <c r="B9" s="119"/>
      <c r="C9" s="119"/>
      <c r="D9" s="119"/>
      <c r="E9" s="120"/>
      <c r="F9" s="120"/>
    </row>
    <row r="10" spans="1:6" ht="18">
      <c r="A10" s="109" t="s">
        <v>64</v>
      </c>
      <c r="B10" s="113">
        <f>SUM(B2:B9)</f>
        <v>-6523746000</v>
      </c>
      <c r="C10" s="113">
        <f t="shared" ref="C10:F10" si="0">SUM(C2:C9)</f>
        <v>-3814874000</v>
      </c>
      <c r="D10" s="113">
        <f t="shared" si="0"/>
        <v>-2418337000</v>
      </c>
      <c r="E10" s="113">
        <f t="shared" si="0"/>
        <v>-2555125000</v>
      </c>
      <c r="F10" s="113">
        <f t="shared" si="0"/>
        <v>-3348801000</v>
      </c>
    </row>
    <row r="11" spans="1:6" ht="18">
      <c r="A11" s="110" t="s">
        <v>65</v>
      </c>
      <c r="B11" s="118">
        <v>8220426000</v>
      </c>
      <c r="C11" s="118">
        <v>4902080000</v>
      </c>
      <c r="D11" s="118">
        <v>3517218000</v>
      </c>
      <c r="E11" s="118">
        <v>3662964000</v>
      </c>
      <c r="F11" s="118">
        <v>4565062000</v>
      </c>
    </row>
    <row r="12" spans="1:6" ht="18">
      <c r="A12" s="347" t="s">
        <v>66</v>
      </c>
      <c r="B12" s="347"/>
      <c r="C12" s="347"/>
      <c r="D12" s="347"/>
      <c r="E12" s="347"/>
      <c r="F12" s="347"/>
    </row>
    <row r="13" spans="1:6" ht="18">
      <c r="A13" s="110" t="s">
        <v>67</v>
      </c>
      <c r="B13" s="111">
        <v>-120245000</v>
      </c>
      <c r="C13" s="111">
        <v>-111543000</v>
      </c>
      <c r="D13" s="112">
        <v>-225208000</v>
      </c>
      <c r="E13" s="114">
        <v>-223127000</v>
      </c>
      <c r="F13" s="114">
        <v>-192128000</v>
      </c>
    </row>
    <row r="14" spans="1:6" ht="18">
      <c r="A14" s="110" t="s">
        <v>81</v>
      </c>
      <c r="B14" s="111">
        <v>-480320000</v>
      </c>
      <c r="C14" s="111">
        <v>-276463000</v>
      </c>
      <c r="D14" s="112">
        <v>-180390000</v>
      </c>
      <c r="E14" s="114">
        <v>-256919000</v>
      </c>
      <c r="F14" s="114">
        <v>-253045000</v>
      </c>
    </row>
    <row r="15" spans="1:6" ht="18">
      <c r="A15" s="110" t="s">
        <v>80</v>
      </c>
      <c r="B15" s="111">
        <v>-401646000</v>
      </c>
      <c r="C15" s="111">
        <v>-253294000</v>
      </c>
      <c r="D15" s="112">
        <v>-258001000</v>
      </c>
      <c r="E15" s="114">
        <v>-272138000</v>
      </c>
      <c r="F15" s="114">
        <v>-327687000</v>
      </c>
    </row>
    <row r="16" spans="1:6" ht="18">
      <c r="A16" s="110" t="s">
        <v>82</v>
      </c>
      <c r="B16" s="115">
        <v>318000</v>
      </c>
      <c r="C16" s="115">
        <v>772000</v>
      </c>
      <c r="D16" s="116">
        <v>-396000</v>
      </c>
      <c r="E16" s="114"/>
      <c r="F16" s="114"/>
    </row>
    <row r="17" spans="1:7" ht="18">
      <c r="A17" s="110" t="s">
        <v>83</v>
      </c>
      <c r="B17" s="113">
        <f>SUM(B13:B16)</f>
        <v>-1001893000</v>
      </c>
      <c r="C17" s="113">
        <f t="shared" ref="C17:F17" si="1">SUM(C13:C16)</f>
        <v>-640528000</v>
      </c>
      <c r="D17" s="113">
        <f t="shared" si="1"/>
        <v>-663995000</v>
      </c>
      <c r="E17" s="113">
        <f t="shared" si="1"/>
        <v>-752184000</v>
      </c>
      <c r="F17" s="113">
        <f t="shared" si="1"/>
        <v>-772860000</v>
      </c>
    </row>
    <row r="18" spans="1:7" ht="18">
      <c r="A18" s="119"/>
      <c r="B18" s="119"/>
      <c r="C18" s="119"/>
      <c r="D18" s="119"/>
      <c r="E18" s="119"/>
      <c r="F18" s="119"/>
    </row>
    <row r="19" spans="1:7" ht="18">
      <c r="A19" s="122" t="s">
        <v>16</v>
      </c>
      <c r="B19" s="117">
        <f>(B11+B10+B17)</f>
        <v>694787000</v>
      </c>
      <c r="C19" s="117">
        <f t="shared" ref="C19:F19" si="2">(C11+C10+C17)</f>
        <v>446678000</v>
      </c>
      <c r="D19" s="117">
        <f t="shared" si="2"/>
        <v>434886000</v>
      </c>
      <c r="E19" s="117">
        <f t="shared" si="2"/>
        <v>355655000</v>
      </c>
      <c r="F19" s="117">
        <f t="shared" si="2"/>
        <v>443401000</v>
      </c>
    </row>
    <row r="20" spans="1:7">
      <c r="A20" s="177"/>
      <c r="B20" s="177"/>
      <c r="C20" s="177"/>
      <c r="D20" s="177"/>
      <c r="E20" s="177"/>
      <c r="F20" s="177"/>
    </row>
    <row r="21" spans="1:7">
      <c r="A21" s="177"/>
      <c r="B21" s="177"/>
      <c r="C21" s="177"/>
      <c r="D21" s="177"/>
      <c r="E21" s="177"/>
      <c r="F21" s="177"/>
    </row>
    <row r="22" spans="1:7">
      <c r="A22" s="177"/>
      <c r="B22" s="177"/>
      <c r="C22" s="177"/>
      <c r="D22" s="177"/>
      <c r="E22" s="177"/>
      <c r="F22" s="177"/>
    </row>
    <row r="23" spans="1:7" ht="18">
      <c r="A23" s="121" t="s">
        <v>91</v>
      </c>
      <c r="B23" s="123">
        <v>2023</v>
      </c>
      <c r="C23" s="123">
        <v>2022</v>
      </c>
      <c r="D23" s="123">
        <v>2021</v>
      </c>
      <c r="E23" s="123">
        <v>2020</v>
      </c>
      <c r="F23" s="123">
        <v>2019</v>
      </c>
      <c r="G23" s="171">
        <v>2018</v>
      </c>
    </row>
    <row r="24" spans="1:7">
      <c r="A24" s="165" t="s">
        <v>92</v>
      </c>
      <c r="B24" s="166">
        <v>1648981000</v>
      </c>
      <c r="C24" s="167">
        <v>1095482000</v>
      </c>
      <c r="D24" s="169">
        <v>960687000</v>
      </c>
      <c r="E24" s="166">
        <v>997517000</v>
      </c>
      <c r="F24" s="166">
        <v>1133982000</v>
      </c>
      <c r="G24" s="170">
        <v>1009191000</v>
      </c>
    </row>
    <row r="25" spans="1:7">
      <c r="A25" t="s">
        <v>94</v>
      </c>
      <c r="B25" s="160">
        <f>B24-C24</f>
        <v>553499000</v>
      </c>
      <c r="C25" s="160">
        <f t="shared" ref="C25:F25" si="3">C24-D24</f>
        <v>134795000</v>
      </c>
      <c r="D25" s="160">
        <f t="shared" si="3"/>
        <v>-36830000</v>
      </c>
      <c r="E25" s="160">
        <f t="shared" si="3"/>
        <v>-136465000</v>
      </c>
      <c r="F25" s="160">
        <f t="shared" si="3"/>
        <v>124791000</v>
      </c>
    </row>
    <row r="26" spans="1:7">
      <c r="A26" s="168" t="s">
        <v>95</v>
      </c>
      <c r="B26" s="172">
        <v>68339000</v>
      </c>
      <c r="C26" s="166">
        <v>62972000</v>
      </c>
      <c r="D26" s="167">
        <v>65828000</v>
      </c>
      <c r="E26" s="166">
        <v>74711000</v>
      </c>
      <c r="F26" s="166">
        <v>56594000</v>
      </c>
    </row>
    <row r="27" spans="1:7">
      <c r="B27" s="160">
        <f>B13</f>
        <v>-120245000</v>
      </c>
      <c r="C27" s="160">
        <f t="shared" ref="C27:F27" si="4">C13</f>
        <v>-111543000</v>
      </c>
      <c r="D27" s="160">
        <f t="shared" si="4"/>
        <v>-225208000</v>
      </c>
      <c r="E27" s="160">
        <f t="shared" si="4"/>
        <v>-223127000</v>
      </c>
      <c r="F27" s="160">
        <f t="shared" si="4"/>
        <v>-192128000</v>
      </c>
    </row>
    <row r="28" spans="1:7">
      <c r="B28" s="160"/>
    </row>
    <row r="29" spans="1:7">
      <c r="B29" s="161"/>
    </row>
    <row r="31" spans="1:7">
      <c r="A31" t="s">
        <v>45</v>
      </c>
      <c r="B31" s="160">
        <f>SUM(B25+B27)</f>
        <v>433254000</v>
      </c>
      <c r="C31" s="160">
        <f t="shared" ref="C31:E31" si="5">SUM(C25+C27)</f>
        <v>23252000</v>
      </c>
      <c r="D31" s="160">
        <f t="shared" si="5"/>
        <v>-262038000</v>
      </c>
      <c r="E31" s="160">
        <f t="shared" si="5"/>
        <v>-359592000</v>
      </c>
      <c r="F31" s="160">
        <f>SUM(F25+F27)</f>
        <v>-67337000</v>
      </c>
    </row>
    <row r="32" spans="1:7">
      <c r="A32" s="178" t="s">
        <v>93</v>
      </c>
      <c r="B32" s="179">
        <v>433254000</v>
      </c>
      <c r="C32" s="180">
        <v>23252000</v>
      </c>
      <c r="D32" s="181">
        <v>-262038000</v>
      </c>
      <c r="E32" s="181">
        <v>-359592000</v>
      </c>
      <c r="F32" s="181">
        <v>-67337000</v>
      </c>
    </row>
  </sheetData>
  <mergeCells count="1">
    <mergeCell ref="A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7EA0-1906-744C-B3FE-253F03544A92}">
  <dimension ref="A1:G40"/>
  <sheetViews>
    <sheetView showGridLines="0" zoomScale="118" workbookViewId="0">
      <selection activeCell="A19" sqref="A19"/>
    </sheetView>
  </sheetViews>
  <sheetFormatPr baseColWidth="10" defaultRowHeight="16"/>
  <cols>
    <col min="1" max="1" width="54.83203125" customWidth="1"/>
    <col min="2" max="2" width="15" style="192" customWidth="1"/>
    <col min="3" max="3" width="15.6640625" style="238" customWidth="1"/>
    <col min="4" max="4" width="15.33203125" customWidth="1"/>
    <col min="5" max="5" width="18.6640625" customWidth="1"/>
    <col min="6" max="6" width="13.1640625" customWidth="1"/>
    <col min="7" max="7" width="16.6640625" style="239" customWidth="1"/>
  </cols>
  <sheetData>
    <row r="1" spans="1:7" s="194" customFormat="1">
      <c r="A1" s="193" t="s">
        <v>111</v>
      </c>
      <c r="B1" s="240">
        <v>2018</v>
      </c>
      <c r="C1" s="201">
        <v>2019</v>
      </c>
      <c r="D1" s="201">
        <v>2020</v>
      </c>
      <c r="E1" s="201">
        <v>2021</v>
      </c>
      <c r="F1" s="201">
        <v>2022</v>
      </c>
      <c r="G1" s="201">
        <v>2023</v>
      </c>
    </row>
    <row r="2" spans="1:7" s="196" customFormat="1">
      <c r="A2" s="195" t="s">
        <v>96</v>
      </c>
      <c r="B2" s="195"/>
      <c r="C2" s="234"/>
      <c r="D2" s="202"/>
      <c r="E2" s="202"/>
      <c r="F2" s="203"/>
      <c r="G2" s="235"/>
    </row>
    <row r="3" spans="1:7" s="186" customFormat="1">
      <c r="A3" s="187" t="s">
        <v>97</v>
      </c>
      <c r="B3" s="224">
        <v>491758</v>
      </c>
      <c r="C3" s="212">
        <v>765197</v>
      </c>
      <c r="D3" s="212">
        <v>917734</v>
      </c>
      <c r="E3" s="212">
        <v>808562</v>
      </c>
      <c r="F3" s="212">
        <v>655437</v>
      </c>
      <c r="G3" s="212">
        <v>717222</v>
      </c>
    </row>
    <row r="4" spans="1:7">
      <c r="A4" t="s">
        <v>99</v>
      </c>
      <c r="B4" s="225"/>
      <c r="C4" s="208">
        <f>C3-B3</f>
        <v>273439</v>
      </c>
      <c r="D4" s="208">
        <f>D3-C3</f>
        <v>152537</v>
      </c>
      <c r="E4" s="207">
        <f t="shared" ref="E4:G4" si="0">E3-D3</f>
        <v>-109172</v>
      </c>
      <c r="F4" s="207">
        <f t="shared" si="0"/>
        <v>-153125</v>
      </c>
      <c r="G4" s="208">
        <f t="shared" si="0"/>
        <v>61785</v>
      </c>
    </row>
    <row r="5" spans="1:7" s="186" customFormat="1" ht="15" customHeight="1">
      <c r="A5" s="187" t="s">
        <v>98</v>
      </c>
      <c r="B5" s="226">
        <v>3104930</v>
      </c>
      <c r="C5" s="212">
        <v>1938030</v>
      </c>
      <c r="D5" s="212">
        <v>2223689</v>
      </c>
      <c r="E5" s="212">
        <v>1746464</v>
      </c>
      <c r="F5" s="212">
        <v>2437077</v>
      </c>
      <c r="G5" s="212">
        <v>2942108</v>
      </c>
    </row>
    <row r="6" spans="1:7">
      <c r="A6" t="s">
        <v>100</v>
      </c>
      <c r="B6" s="225"/>
      <c r="C6" s="207">
        <f>C5-B5</f>
        <v>-1166900</v>
      </c>
      <c r="D6" s="208">
        <f>D5-C5</f>
        <v>285659</v>
      </c>
      <c r="E6" s="207">
        <f>E5-D5</f>
        <v>-477225</v>
      </c>
      <c r="F6" s="209">
        <f>F5-E5</f>
        <v>690613</v>
      </c>
      <c r="G6" s="208">
        <f>G5-F5</f>
        <v>505031</v>
      </c>
    </row>
    <row r="7" spans="1:7" s="186" customFormat="1">
      <c r="A7" s="187" t="s">
        <v>101</v>
      </c>
      <c r="B7" s="224">
        <v>0</v>
      </c>
      <c r="C7" s="212">
        <v>1604295</v>
      </c>
      <c r="D7" s="212">
        <v>1701664</v>
      </c>
      <c r="E7" s="212">
        <v>1694143</v>
      </c>
      <c r="F7" s="212">
        <v>2695647</v>
      </c>
      <c r="G7" s="212">
        <v>3451990</v>
      </c>
    </row>
    <row r="8" spans="1:7">
      <c r="A8" t="s">
        <v>101</v>
      </c>
      <c r="B8" s="225"/>
      <c r="C8" s="254"/>
      <c r="D8" s="208">
        <f t="shared" ref="D8:G8" si="1">D7-C7</f>
        <v>97369</v>
      </c>
      <c r="E8" s="207">
        <f t="shared" si="1"/>
        <v>-7521</v>
      </c>
      <c r="F8" s="208">
        <f t="shared" si="1"/>
        <v>1001504</v>
      </c>
      <c r="G8" s="208">
        <f t="shared" si="1"/>
        <v>756343</v>
      </c>
    </row>
    <row r="9" spans="1:7" s="213" customFormat="1">
      <c r="A9" s="187" t="s">
        <v>102</v>
      </c>
      <c r="B9" s="224">
        <v>42293</v>
      </c>
      <c r="C9" s="200">
        <v>34158</v>
      </c>
      <c r="D9" s="200">
        <v>44056</v>
      </c>
      <c r="E9" s="200">
        <v>47814</v>
      </c>
      <c r="F9" s="200">
        <v>20381</v>
      </c>
      <c r="G9" s="200">
        <v>21756</v>
      </c>
    </row>
    <row r="10" spans="1:7">
      <c r="A10" t="s">
        <v>102</v>
      </c>
      <c r="B10" s="225"/>
      <c r="C10" s="207">
        <f>C9-B9</f>
        <v>-8135</v>
      </c>
      <c r="D10" s="208">
        <f t="shared" ref="D10:G10" si="2">D9-C9</f>
        <v>9898</v>
      </c>
      <c r="E10" s="208">
        <f t="shared" si="2"/>
        <v>3758</v>
      </c>
      <c r="F10" s="207">
        <f t="shared" si="2"/>
        <v>-27433</v>
      </c>
      <c r="G10" s="208">
        <f t="shared" si="2"/>
        <v>1375</v>
      </c>
    </row>
    <row r="11" spans="1:7" s="186" customFormat="1">
      <c r="A11" s="187" t="s">
        <v>103</v>
      </c>
      <c r="B11" s="224">
        <v>384271</v>
      </c>
      <c r="C11" s="210">
        <v>396664</v>
      </c>
      <c r="D11" s="210">
        <v>644467</v>
      </c>
      <c r="E11" s="210">
        <v>881337</v>
      </c>
      <c r="F11" s="210">
        <v>700782</v>
      </c>
      <c r="G11" s="210">
        <v>1007803</v>
      </c>
    </row>
    <row r="12" spans="1:7">
      <c r="A12" t="s">
        <v>103</v>
      </c>
      <c r="B12" s="225"/>
      <c r="C12" s="208">
        <f>C11-B11</f>
        <v>12393</v>
      </c>
      <c r="D12" s="208">
        <f t="shared" ref="D12:G12" si="3">D11-C11</f>
        <v>247803</v>
      </c>
      <c r="E12" s="208">
        <f t="shared" si="3"/>
        <v>236870</v>
      </c>
      <c r="F12" s="207">
        <f t="shared" si="3"/>
        <v>-180555</v>
      </c>
      <c r="G12" s="208">
        <f t="shared" si="3"/>
        <v>307021</v>
      </c>
    </row>
    <row r="13" spans="1:7" s="186" customFormat="1">
      <c r="A13" s="187" t="s">
        <v>104</v>
      </c>
      <c r="B13" s="224">
        <v>1238634</v>
      </c>
      <c r="C13" s="210">
        <v>1452272</v>
      </c>
      <c r="D13" s="210">
        <v>2147202</v>
      </c>
      <c r="E13" s="210">
        <v>2656658</v>
      </c>
      <c r="F13" s="210">
        <v>2794348</v>
      </c>
      <c r="G13" s="210">
        <v>3169446</v>
      </c>
    </row>
    <row r="14" spans="1:7">
      <c r="A14" t="s">
        <v>104</v>
      </c>
      <c r="B14" s="225"/>
      <c r="C14" s="208">
        <f>C13-B13</f>
        <v>213638</v>
      </c>
      <c r="D14" s="208">
        <f t="shared" ref="D14:G14" si="4">D13-C13</f>
        <v>694930</v>
      </c>
      <c r="E14" s="208">
        <f t="shared" si="4"/>
        <v>509456</v>
      </c>
      <c r="F14" s="208">
        <f t="shared" si="4"/>
        <v>137690</v>
      </c>
      <c r="G14" s="208">
        <f t="shared" si="4"/>
        <v>375098</v>
      </c>
    </row>
    <row r="15" spans="1:7" s="186" customFormat="1">
      <c r="A15" s="187" t="s">
        <v>114</v>
      </c>
      <c r="B15" s="224">
        <v>2175958</v>
      </c>
      <c r="C15" s="210">
        <v>1885356</v>
      </c>
      <c r="D15" s="210">
        <v>1847214</v>
      </c>
      <c r="E15" s="210">
        <v>2060166</v>
      </c>
      <c r="F15" s="210">
        <v>2011858</v>
      </c>
      <c r="G15" s="210">
        <v>3912891</v>
      </c>
    </row>
    <row r="16" spans="1:7" s="6" customFormat="1">
      <c r="A16" s="197" t="s">
        <v>114</v>
      </c>
      <c r="B16" s="227"/>
      <c r="C16" s="207">
        <f>C15-B15</f>
        <v>-290602</v>
      </c>
      <c r="D16" s="207">
        <f t="shared" ref="D16:G16" si="5">D15-C15</f>
        <v>-38142</v>
      </c>
      <c r="E16" s="208">
        <f t="shared" si="5"/>
        <v>212952</v>
      </c>
      <c r="F16" s="207">
        <f t="shared" si="5"/>
        <v>-48308</v>
      </c>
      <c r="G16" s="208">
        <f t="shared" si="5"/>
        <v>1901033</v>
      </c>
    </row>
    <row r="17" spans="1:7" s="186" customFormat="1">
      <c r="A17" s="187"/>
      <c r="B17" s="228"/>
      <c r="C17" s="205"/>
      <c r="D17" s="205"/>
      <c r="E17" s="205"/>
      <c r="F17" s="205"/>
      <c r="G17" s="205"/>
    </row>
    <row r="18" spans="1:7" s="6" customFormat="1" ht="17" thickBot="1">
      <c r="A18" s="192"/>
      <c r="B18" s="229"/>
      <c r="C18" s="206"/>
      <c r="D18" s="206"/>
      <c r="E18" s="206"/>
      <c r="F18" s="206"/>
      <c r="G18" s="206"/>
    </row>
    <row r="19" spans="1:7" s="189" customFormat="1" ht="17" thickBot="1">
      <c r="A19" s="198" t="s">
        <v>115</v>
      </c>
      <c r="B19" s="230">
        <f>SUM(B3+B5+B7+B9+B11+B13+B15)</f>
        <v>7437844</v>
      </c>
      <c r="C19" s="211">
        <f t="shared" ref="C19:G19" si="6">SUM(C3+C5+C7+C9+C11+C13+C15)</f>
        <v>8075972</v>
      </c>
      <c r="D19" s="211">
        <f t="shared" si="6"/>
        <v>9526026</v>
      </c>
      <c r="E19" s="211">
        <f t="shared" si="6"/>
        <v>9895144</v>
      </c>
      <c r="F19" s="211">
        <f t="shared" si="6"/>
        <v>11315530</v>
      </c>
      <c r="G19" s="211">
        <f t="shared" si="6"/>
        <v>15223216</v>
      </c>
    </row>
    <row r="20" spans="1:7" s="6" customFormat="1">
      <c r="B20" s="192"/>
      <c r="C20" s="236"/>
      <c r="G20" s="237"/>
    </row>
    <row r="21" spans="1:7" s="6" customFormat="1" ht="17" thickBot="1">
      <c r="B21" s="192"/>
      <c r="C21" s="236"/>
      <c r="G21" s="237"/>
    </row>
    <row r="22" spans="1:7" s="190" customFormat="1" ht="17" thickBot="1">
      <c r="A22" s="191" t="s">
        <v>112</v>
      </c>
      <c r="B22" s="241">
        <v>2018</v>
      </c>
      <c r="C22" s="199">
        <v>2019</v>
      </c>
      <c r="D22" s="199">
        <v>2020</v>
      </c>
      <c r="E22" s="199">
        <v>2021</v>
      </c>
      <c r="F22" s="199">
        <v>2022</v>
      </c>
      <c r="G22" s="199">
        <v>2023</v>
      </c>
    </row>
    <row r="23" spans="1:7">
      <c r="A23" s="77" t="s">
        <v>105</v>
      </c>
      <c r="B23" s="227">
        <v>0</v>
      </c>
      <c r="C23" s="215">
        <v>1495917</v>
      </c>
      <c r="D23" s="215">
        <v>1822960</v>
      </c>
      <c r="E23" s="215">
        <v>662164</v>
      </c>
      <c r="F23" s="204">
        <v>1008902</v>
      </c>
      <c r="G23" s="204">
        <v>535150</v>
      </c>
    </row>
    <row r="24" spans="1:7">
      <c r="A24" s="77" t="s">
        <v>106</v>
      </c>
      <c r="B24" s="227">
        <v>0</v>
      </c>
      <c r="C24" s="215">
        <v>690000</v>
      </c>
      <c r="D24" s="215">
        <v>690000</v>
      </c>
      <c r="E24" s="215">
        <v>790000</v>
      </c>
      <c r="F24" s="204">
        <v>540435</v>
      </c>
      <c r="G24" s="204">
        <v>874509</v>
      </c>
    </row>
    <row r="25" spans="1:7">
      <c r="A25" s="77" t="s">
        <v>113</v>
      </c>
      <c r="B25" s="231">
        <v>1486736</v>
      </c>
      <c r="C25" s="204">
        <v>0</v>
      </c>
      <c r="D25" s="204">
        <v>0</v>
      </c>
      <c r="E25" s="204">
        <v>0</v>
      </c>
      <c r="F25" s="204">
        <v>0</v>
      </c>
      <c r="G25" s="204">
        <v>0</v>
      </c>
    </row>
    <row r="26" spans="1:7">
      <c r="A26" s="77" t="s">
        <v>107</v>
      </c>
      <c r="B26" s="225">
        <v>2167037</v>
      </c>
      <c r="C26" s="215">
        <v>1848867</v>
      </c>
      <c r="D26" s="215">
        <v>1760450</v>
      </c>
      <c r="E26" s="215">
        <v>1745594</v>
      </c>
      <c r="F26" s="204">
        <v>266581</v>
      </c>
      <c r="G26" s="204">
        <v>3712986</v>
      </c>
    </row>
    <row r="27" spans="1:7">
      <c r="A27" s="77" t="s">
        <v>108</v>
      </c>
      <c r="B27" s="227">
        <v>0</v>
      </c>
      <c r="C27" s="215">
        <v>942039</v>
      </c>
      <c r="D27" s="215">
        <v>1353551</v>
      </c>
      <c r="E27" s="215">
        <v>1028619</v>
      </c>
      <c r="F27" s="204">
        <v>1429921</v>
      </c>
      <c r="G27" s="204">
        <v>1348519</v>
      </c>
    </row>
    <row r="28" spans="1:7">
      <c r="A28" s="77" t="s">
        <v>109</v>
      </c>
      <c r="B28" s="231">
        <v>74320</v>
      </c>
      <c r="C28" s="215">
        <v>74573</v>
      </c>
      <c r="D28" s="215">
        <v>171660</v>
      </c>
      <c r="E28" s="215">
        <v>158183</v>
      </c>
      <c r="F28" s="204">
        <v>160434</v>
      </c>
      <c r="G28" s="204">
        <v>254612</v>
      </c>
    </row>
    <row r="29" spans="1:7" ht="17" thickBot="1">
      <c r="A29" s="77" t="s">
        <v>110</v>
      </c>
      <c r="B29" s="231">
        <v>45062</v>
      </c>
      <c r="C29" s="216">
        <v>59274</v>
      </c>
      <c r="D29" s="216">
        <v>87950</v>
      </c>
      <c r="E29" s="216">
        <v>96380</v>
      </c>
      <c r="F29" s="217">
        <v>84361</v>
      </c>
      <c r="G29" s="217">
        <v>86224</v>
      </c>
    </row>
    <row r="30" spans="1:7" s="189" customFormat="1" ht="17" thickBot="1">
      <c r="A30" s="188" t="s">
        <v>116</v>
      </c>
      <c r="B30" s="232">
        <f>SUM(B23:B29)</f>
        <v>3773155</v>
      </c>
      <c r="C30" s="214">
        <f t="shared" ref="C30:G30" si="7">SUM(C23:C29)</f>
        <v>5110670</v>
      </c>
      <c r="D30" s="214">
        <f t="shared" si="7"/>
        <v>5886571</v>
      </c>
      <c r="E30" s="214">
        <f t="shared" si="7"/>
        <v>4480940</v>
      </c>
      <c r="F30" s="214">
        <f t="shared" si="7"/>
        <v>3490634</v>
      </c>
      <c r="G30" s="214">
        <f t="shared" si="7"/>
        <v>6812000</v>
      </c>
    </row>
    <row r="31" spans="1:7" s="6" customFormat="1">
      <c r="B31" s="192"/>
      <c r="C31" s="236"/>
      <c r="G31" s="237"/>
    </row>
    <row r="32" spans="1:7" s="6" customFormat="1" ht="17" thickBot="1">
      <c r="B32" s="192"/>
      <c r="C32" s="236"/>
      <c r="G32" s="237"/>
    </row>
    <row r="33" spans="1:7" s="6" customFormat="1" ht="17" thickBot="1">
      <c r="B33" s="255">
        <v>2018</v>
      </c>
      <c r="C33" s="221">
        <v>2019</v>
      </c>
      <c r="D33" s="220">
        <v>2020</v>
      </c>
      <c r="E33" s="221">
        <v>2021</v>
      </c>
      <c r="F33" s="221">
        <v>2022</v>
      </c>
      <c r="G33" s="221">
        <v>2023</v>
      </c>
    </row>
    <row r="34" spans="1:7" ht="17" thickBot="1">
      <c r="A34" s="222" t="s">
        <v>119</v>
      </c>
      <c r="B34" s="233">
        <f>B19-B30</f>
        <v>3664689</v>
      </c>
      <c r="C34" s="223">
        <f t="shared" ref="C34:G34" si="8">C19-C30</f>
        <v>2965302</v>
      </c>
      <c r="D34" s="223">
        <f t="shared" si="8"/>
        <v>3639455</v>
      </c>
      <c r="E34" s="223">
        <f t="shared" si="8"/>
        <v>5414204</v>
      </c>
      <c r="F34" s="223">
        <f t="shared" si="8"/>
        <v>7824896</v>
      </c>
      <c r="G34" s="223">
        <f t="shared" si="8"/>
        <v>8411216</v>
      </c>
    </row>
    <row r="35" spans="1:7" ht="17" thickBot="1">
      <c r="A35" s="243" t="s">
        <v>117</v>
      </c>
      <c r="B35" s="218">
        <f>B19-B13</f>
        <v>6199210</v>
      </c>
      <c r="C35" s="218">
        <f t="shared" ref="C35:G35" si="9">C19-C13</f>
        <v>6623700</v>
      </c>
      <c r="D35" s="218">
        <f t="shared" si="9"/>
        <v>7378824</v>
      </c>
      <c r="E35" s="218">
        <f t="shared" si="9"/>
        <v>7238486</v>
      </c>
      <c r="F35" s="218">
        <f t="shared" si="9"/>
        <v>8521182</v>
      </c>
      <c r="G35" s="218">
        <f t="shared" si="9"/>
        <v>12053770</v>
      </c>
    </row>
    <row r="36" spans="1:7" ht="17" thickBot="1">
      <c r="A36" s="243" t="s">
        <v>118</v>
      </c>
      <c r="B36" s="242">
        <f>B30-B23-B24-B25</f>
        <v>2286419</v>
      </c>
      <c r="C36" s="242">
        <f t="shared" ref="C36:G36" si="10">C30-C23-C24-C25</f>
        <v>2924753</v>
      </c>
      <c r="D36" s="242">
        <f t="shared" si="10"/>
        <v>3373611</v>
      </c>
      <c r="E36" s="242">
        <f t="shared" si="10"/>
        <v>3028776</v>
      </c>
      <c r="F36" s="242">
        <f t="shared" si="10"/>
        <v>1941297</v>
      </c>
      <c r="G36" s="242">
        <f t="shared" si="10"/>
        <v>5402341</v>
      </c>
    </row>
    <row r="37" spans="1:7" ht="17" thickBot="1">
      <c r="A37" s="243" t="s">
        <v>122</v>
      </c>
      <c r="B37" s="244">
        <f>B35+B36</f>
        <v>8485629</v>
      </c>
      <c r="C37" s="245">
        <f t="shared" ref="C37:G37" si="11">C35+C36</f>
        <v>9548453</v>
      </c>
      <c r="D37" s="245">
        <f t="shared" si="11"/>
        <v>10752435</v>
      </c>
      <c r="E37" s="245">
        <f t="shared" si="11"/>
        <v>10267262</v>
      </c>
      <c r="F37" s="245">
        <f t="shared" si="11"/>
        <v>10462479</v>
      </c>
      <c r="G37" s="245">
        <f t="shared" si="11"/>
        <v>17456111</v>
      </c>
    </row>
    <row r="38" spans="1:7" ht="24" customHeight="1" thickBot="1">
      <c r="A38" s="248" t="s">
        <v>120</v>
      </c>
      <c r="B38" s="185"/>
      <c r="C38" s="246">
        <f>C37-B37</f>
        <v>1062824</v>
      </c>
      <c r="D38" s="246">
        <f t="shared" ref="D38:G38" si="12">D37-C37</f>
        <v>1203982</v>
      </c>
      <c r="E38" s="247">
        <f t="shared" si="12"/>
        <v>-485173</v>
      </c>
      <c r="F38" s="246">
        <f t="shared" si="12"/>
        <v>195217</v>
      </c>
      <c r="G38" s="246">
        <f t="shared" si="12"/>
        <v>6993632</v>
      </c>
    </row>
    <row r="39" spans="1:7" ht="20" thickBot="1">
      <c r="A39" s="249" t="s">
        <v>121</v>
      </c>
      <c r="B39" s="219"/>
      <c r="C39" s="250">
        <v>1062824000</v>
      </c>
      <c r="D39" s="251">
        <v>1203982000</v>
      </c>
      <c r="E39" s="253">
        <v>-485173000</v>
      </c>
      <c r="F39" s="251">
        <v>195217000</v>
      </c>
      <c r="G39" s="252">
        <v>6993632000</v>
      </c>
    </row>
    <row r="40" spans="1:7" ht="17" thickBot="1">
      <c r="A40" s="307" t="s">
        <v>140</v>
      </c>
      <c r="B40" s="308"/>
      <c r="C40" s="309">
        <f>SUM(G23:G25)*1000</f>
        <v>1409659000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10BC-05CF-8345-ACB1-2AB783B4A077}">
  <dimension ref="C1:J44"/>
  <sheetViews>
    <sheetView showGridLines="0" workbookViewId="0">
      <selection activeCell="R2" sqref="R2"/>
    </sheetView>
  </sheetViews>
  <sheetFormatPr baseColWidth="10" defaultRowHeight="16"/>
  <cols>
    <col min="3" max="3" width="20.6640625" customWidth="1"/>
    <col min="4" max="4" width="23.1640625" bestFit="1" customWidth="1"/>
    <col min="5" max="5" width="13.6640625" bestFit="1" customWidth="1"/>
    <col min="8" max="8" width="12.1640625" bestFit="1" customWidth="1"/>
  </cols>
  <sheetData>
    <row r="1" spans="3:10" ht="22">
      <c r="C1" s="264" t="s">
        <v>13</v>
      </c>
      <c r="D1" s="265"/>
      <c r="E1" s="265"/>
      <c r="F1" s="265"/>
      <c r="G1" s="265"/>
      <c r="H1" s="265"/>
      <c r="I1" s="265"/>
      <c r="J1" s="266"/>
    </row>
    <row r="2" spans="3:10">
      <c r="C2" s="267"/>
      <c r="D2" s="268"/>
      <c r="E2" s="268"/>
      <c r="F2" s="268"/>
      <c r="G2" s="268"/>
      <c r="H2" s="268"/>
      <c r="I2" s="268"/>
      <c r="J2" s="269"/>
    </row>
    <row r="3" spans="3:10">
      <c r="C3" s="263" t="s">
        <v>13</v>
      </c>
      <c r="D3" s="261"/>
      <c r="E3" s="261"/>
      <c r="F3" s="261"/>
      <c r="G3" s="261"/>
      <c r="H3" s="261"/>
      <c r="I3" s="261"/>
      <c r="J3" s="262"/>
    </row>
    <row r="4" spans="3:10">
      <c r="C4" s="270" t="s">
        <v>27</v>
      </c>
      <c r="D4" s="268"/>
      <c r="E4" s="268"/>
      <c r="F4" s="268"/>
      <c r="G4" s="268"/>
      <c r="H4" s="268"/>
      <c r="I4" s="268"/>
      <c r="J4" s="269"/>
    </row>
    <row r="5" spans="3:10">
      <c r="C5" s="270" t="s">
        <v>28</v>
      </c>
      <c r="D5" s="268"/>
      <c r="E5" s="268"/>
      <c r="F5" s="268"/>
      <c r="G5" s="268"/>
      <c r="H5" s="268"/>
      <c r="I5" s="268"/>
      <c r="J5" s="269"/>
    </row>
    <row r="6" spans="3:10">
      <c r="C6" s="267"/>
      <c r="D6" s="268"/>
      <c r="E6" s="268"/>
      <c r="F6" s="268"/>
      <c r="G6" s="268"/>
      <c r="H6" s="268"/>
      <c r="I6" s="268"/>
      <c r="J6" s="269"/>
    </row>
    <row r="7" spans="3:10">
      <c r="C7" s="267" t="s">
        <v>29</v>
      </c>
      <c r="D7" s="268"/>
      <c r="E7" s="278">
        <f>CFS!C40</f>
        <v>1409659000</v>
      </c>
      <c r="F7" s="268"/>
      <c r="G7" s="268"/>
      <c r="H7" s="268"/>
      <c r="I7" s="268"/>
      <c r="J7" s="269"/>
    </row>
    <row r="8" spans="3:10">
      <c r="C8" s="267" t="s">
        <v>30</v>
      </c>
      <c r="D8" s="268"/>
      <c r="E8" s="277">
        <f>E7/E19</f>
        <v>6.366275673796E-2</v>
      </c>
      <c r="F8" s="268"/>
      <c r="G8" s="268"/>
      <c r="H8" s="268"/>
      <c r="I8" s="268"/>
      <c r="J8" s="269"/>
    </row>
    <row r="9" spans="3:10">
      <c r="C9" s="267" t="s">
        <v>31</v>
      </c>
      <c r="D9" s="268"/>
      <c r="E9" s="285"/>
      <c r="F9" s="268"/>
      <c r="G9" s="268"/>
      <c r="H9" s="268"/>
      <c r="I9" s="268"/>
      <c r="J9" s="269"/>
    </row>
    <row r="10" spans="3:10">
      <c r="C10" s="267" t="s">
        <v>32</v>
      </c>
      <c r="D10" s="268"/>
      <c r="E10" s="285">
        <v>0.24</v>
      </c>
      <c r="F10" s="268"/>
      <c r="G10" s="268"/>
      <c r="H10" s="268"/>
      <c r="I10" s="268"/>
      <c r="J10" s="269"/>
    </row>
    <row r="11" spans="3:10">
      <c r="C11" s="267"/>
      <c r="D11" s="268"/>
      <c r="E11" s="268"/>
      <c r="F11" s="268"/>
      <c r="G11" s="268"/>
      <c r="H11" s="268"/>
      <c r="I11" s="268"/>
      <c r="J11" s="269"/>
    </row>
    <row r="12" spans="3:10">
      <c r="C12" s="267" t="s">
        <v>33</v>
      </c>
      <c r="D12" s="268"/>
      <c r="E12" s="312">
        <f>D37</f>
        <v>20732941670</v>
      </c>
      <c r="F12" s="268"/>
      <c r="G12" s="268"/>
      <c r="H12" s="268"/>
      <c r="I12" s="268"/>
      <c r="J12" s="269"/>
    </row>
    <row r="13" spans="3:10">
      <c r="C13" s="267" t="s">
        <v>34</v>
      </c>
      <c r="D13" s="268"/>
      <c r="E13" s="276">
        <f>E12/E19</f>
        <v>0.93633724326204004</v>
      </c>
      <c r="F13" s="268"/>
      <c r="G13" s="268"/>
      <c r="H13" s="268"/>
      <c r="I13" s="268"/>
      <c r="J13" s="269"/>
    </row>
    <row r="14" spans="3:10">
      <c r="C14" s="267" t="s">
        <v>153</v>
      </c>
      <c r="D14" s="268"/>
      <c r="E14" s="275">
        <f>D28</f>
        <v>-2.5739079039180449E-3</v>
      </c>
      <c r="F14" s="268"/>
      <c r="G14" s="268"/>
      <c r="H14" s="268"/>
      <c r="I14" s="268"/>
      <c r="J14" s="269"/>
    </row>
    <row r="15" spans="3:10">
      <c r="C15" s="267" t="s">
        <v>35</v>
      </c>
      <c r="D15" s="268" t="s">
        <v>149</v>
      </c>
      <c r="E15" s="314">
        <v>3.8039999999999997E-2</v>
      </c>
      <c r="F15" s="268"/>
      <c r="G15" s="268"/>
      <c r="H15" s="268"/>
      <c r="I15" s="268"/>
      <c r="J15" s="269"/>
    </row>
    <row r="16" spans="3:10">
      <c r="C16" s="267" t="s">
        <v>14</v>
      </c>
      <c r="D16" s="268"/>
      <c r="E16" s="286">
        <v>1.0677979320187101</v>
      </c>
      <c r="F16" s="268"/>
      <c r="G16" s="268"/>
      <c r="H16" s="268"/>
      <c r="I16" s="268"/>
      <c r="J16" s="269"/>
    </row>
    <row r="17" spans="3:10">
      <c r="C17" s="267" t="s">
        <v>36</v>
      </c>
      <c r="D17" s="268" t="s">
        <v>149</v>
      </c>
      <c r="E17" s="313">
        <f>D29</f>
        <v>-3.8035199999999998E-2</v>
      </c>
      <c r="F17" s="268"/>
      <c r="G17" s="268"/>
      <c r="H17" s="268"/>
      <c r="I17" s="268"/>
      <c r="J17" s="269"/>
    </row>
    <row r="18" spans="3:10">
      <c r="C18" s="267"/>
      <c r="D18" s="268"/>
      <c r="E18" s="268"/>
      <c r="F18" s="268"/>
      <c r="G18" s="268"/>
      <c r="H18" s="268"/>
      <c r="I18" s="268"/>
      <c r="J18" s="269"/>
    </row>
    <row r="19" spans="3:10">
      <c r="C19" s="267" t="s">
        <v>37</v>
      </c>
      <c r="D19" s="268"/>
      <c r="E19" s="278">
        <f>E7+E12</f>
        <v>22142600670</v>
      </c>
      <c r="F19" s="268"/>
      <c r="G19" s="268"/>
      <c r="H19" s="268"/>
      <c r="I19" s="268"/>
      <c r="J19" s="269"/>
    </row>
    <row r="20" spans="3:10">
      <c r="C20" s="267"/>
      <c r="D20" s="268"/>
      <c r="E20" s="268"/>
      <c r="F20" s="268"/>
      <c r="G20" s="268"/>
      <c r="H20" s="268"/>
      <c r="I20" s="268"/>
      <c r="J20" s="269"/>
    </row>
    <row r="21" spans="3:10">
      <c r="C21" s="271" t="s">
        <v>13</v>
      </c>
      <c r="D21" s="265"/>
      <c r="E21" s="272">
        <f>(E8*E9*(1-E10))+(E13*E14)</f>
        <v>-2.4100458311649979E-3</v>
      </c>
      <c r="F21" s="273"/>
      <c r="G21" s="273"/>
      <c r="H21" s="273"/>
      <c r="I21" s="273"/>
      <c r="J21" s="274"/>
    </row>
    <row r="22" spans="3:10" ht="17" thickBot="1"/>
    <row r="23" spans="3:10" ht="17" thickBot="1">
      <c r="C23" s="351" t="s">
        <v>142</v>
      </c>
      <c r="D23" s="352"/>
      <c r="E23" s="352"/>
      <c r="F23" s="352"/>
      <c r="G23" s="352"/>
      <c r="H23" s="352"/>
      <c r="I23" s="353"/>
    </row>
    <row r="24" spans="3:10" ht="17" thickBot="1">
      <c r="C24" s="348" t="s">
        <v>144</v>
      </c>
      <c r="D24" s="349"/>
      <c r="E24" s="349"/>
      <c r="F24" s="349"/>
      <c r="G24" s="349"/>
      <c r="H24" s="349"/>
      <c r="I24" s="350"/>
    </row>
    <row r="25" spans="3:10" ht="17" thickBot="1">
      <c r="C25" s="238" t="s">
        <v>147</v>
      </c>
      <c r="D25" s="321">
        <v>3.8039999999999997E-2</v>
      </c>
      <c r="I25" s="239"/>
    </row>
    <row r="26" spans="3:10" ht="17" thickBot="1">
      <c r="C26" s="238" t="s">
        <v>146</v>
      </c>
      <c r="D26" s="320">
        <v>1.0677979320187101</v>
      </c>
      <c r="I26" s="239"/>
    </row>
    <row r="27" spans="3:10" ht="17" thickBot="1">
      <c r="C27" s="238" t="s">
        <v>145</v>
      </c>
      <c r="D27" s="319">
        <v>4.7999999999999998E-6</v>
      </c>
      <c r="I27" s="239"/>
    </row>
    <row r="28" spans="3:10" ht="17" thickBot="1">
      <c r="C28" s="322" t="s">
        <v>143</v>
      </c>
      <c r="D28" s="323">
        <f>D25 + D26 * (D27-E15)</f>
        <v>-2.5739079039180449E-3</v>
      </c>
      <c r="I28" s="239"/>
    </row>
    <row r="29" spans="3:10" ht="17" thickBot="1">
      <c r="C29" s="318" t="s">
        <v>148</v>
      </c>
      <c r="D29" s="321">
        <v>-3.8035199999999998E-2</v>
      </c>
      <c r="E29" s="354" t="s">
        <v>150</v>
      </c>
      <c r="F29" s="355"/>
      <c r="G29" s="355"/>
      <c r="H29" s="355"/>
      <c r="I29" s="356"/>
    </row>
    <row r="30" spans="3:10">
      <c r="C30" s="238"/>
      <c r="I30" s="239"/>
    </row>
    <row r="31" spans="3:10" ht="17" thickBot="1">
      <c r="C31" s="315"/>
      <c r="D31" s="316"/>
      <c r="E31" s="316"/>
      <c r="F31" s="316"/>
      <c r="G31" s="316"/>
      <c r="H31" s="316"/>
      <c r="I31" s="317"/>
    </row>
    <row r="34" spans="3:8" ht="17" thickBot="1"/>
    <row r="35" spans="3:8">
      <c r="C35" s="327" t="s">
        <v>151</v>
      </c>
      <c r="D35" s="324">
        <v>2768083000</v>
      </c>
    </row>
    <row r="36" spans="3:8" ht="17" thickBot="1">
      <c r="C36" s="328" t="s">
        <v>131</v>
      </c>
      <c r="D36" s="325">
        <v>7.49</v>
      </c>
    </row>
    <row r="37" spans="3:8" ht="17" thickBot="1">
      <c r="C37" s="329" t="s">
        <v>33</v>
      </c>
      <c r="D37" s="326">
        <f>D35*D36</f>
        <v>20732941670</v>
      </c>
    </row>
    <row r="39" spans="3:8" ht="17" thickBot="1"/>
    <row r="40" spans="3:8" ht="17" thickBot="1">
      <c r="C40" s="351" t="s">
        <v>154</v>
      </c>
      <c r="D40" s="353"/>
    </row>
    <row r="41" spans="3:8" ht="17" thickBot="1">
      <c r="C41" s="238" t="s">
        <v>155</v>
      </c>
      <c r="D41" s="321">
        <v>4.19E-2</v>
      </c>
      <c r="F41" s="357"/>
      <c r="G41" s="357"/>
      <c r="H41" s="334"/>
    </row>
    <row r="42" spans="3:8" ht="17" thickBot="1">
      <c r="C42" s="238" t="s">
        <v>156</v>
      </c>
      <c r="D42" s="321">
        <v>3.5400000000000001E-2</v>
      </c>
    </row>
    <row r="43" spans="3:8" ht="17" thickBot="1">
      <c r="C43" s="315" t="s">
        <v>157</v>
      </c>
      <c r="D43" s="321">
        <v>6.2600000000000003E-2</v>
      </c>
    </row>
    <row r="44" spans="3:8" ht="17" thickBot="1">
      <c r="C44" s="243" t="s">
        <v>158</v>
      </c>
      <c r="D44" s="331">
        <f>AVERAGE(D41:D43)</f>
        <v>4.6633333333333339E-2</v>
      </c>
    </row>
  </sheetData>
  <mergeCells count="5">
    <mergeCell ref="C24:I24"/>
    <mergeCell ref="C23:I23"/>
    <mergeCell ref="E29:I29"/>
    <mergeCell ref="C40:D40"/>
    <mergeCell ref="F41:G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B324-843C-4441-A002-FFD3341B5BB2}">
  <dimension ref="A1:B11"/>
  <sheetViews>
    <sheetView showGridLines="0" workbookViewId="0">
      <selection activeCell="J16" sqref="J16"/>
    </sheetView>
  </sheetViews>
  <sheetFormatPr baseColWidth="10" defaultRowHeight="16"/>
  <cols>
    <col min="1" max="1" width="28.5" customWidth="1"/>
    <col min="2" max="2" width="17.6640625" bestFit="1" customWidth="1"/>
  </cols>
  <sheetData>
    <row r="1" spans="1:2">
      <c r="A1" s="330" t="s">
        <v>159</v>
      </c>
    </row>
    <row r="2" spans="1:2">
      <c r="A2" t="s">
        <v>160</v>
      </c>
      <c r="B2" s="160">
        <v>2650000000</v>
      </c>
    </row>
    <row r="3" spans="1:2">
      <c r="A3" t="s">
        <v>161</v>
      </c>
      <c r="B3" s="160">
        <v>2864037000</v>
      </c>
    </row>
    <row r="5" spans="1:2">
      <c r="A5" s="330" t="s">
        <v>159</v>
      </c>
    </row>
    <row r="6" spans="1:2">
      <c r="A6" t="s">
        <v>162</v>
      </c>
      <c r="B6" s="160">
        <v>535510000</v>
      </c>
    </row>
    <row r="7" spans="1:2">
      <c r="A7" t="s">
        <v>163</v>
      </c>
      <c r="B7" s="160">
        <v>874509000</v>
      </c>
    </row>
    <row r="8" spans="1:2" ht="17" thickBot="1"/>
    <row r="9" spans="1:2" ht="17" thickBot="1">
      <c r="A9" s="243" t="s">
        <v>140</v>
      </c>
      <c r="B9" s="332">
        <f>SUM(B2:B7)</f>
        <v>6924056000</v>
      </c>
    </row>
    <row r="11" spans="1:2">
      <c r="A11" t="s">
        <v>164</v>
      </c>
      <c r="B11" s="3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5310-B18A-5644-A66C-7F25D807E155}">
  <dimension ref="A1:A11"/>
  <sheetViews>
    <sheetView workbookViewId="0">
      <selection activeCell="F21" sqref="F21"/>
    </sheetView>
  </sheetViews>
  <sheetFormatPr baseColWidth="10" defaultRowHeight="16"/>
  <cols>
    <col min="1" max="1" width="19.6640625" customWidth="1"/>
  </cols>
  <sheetData>
    <row r="1" spans="1:1" ht="18">
      <c r="A1" s="279" t="s">
        <v>47</v>
      </c>
    </row>
    <row r="2" spans="1:1">
      <c r="A2" s="280">
        <v>4565062000</v>
      </c>
    </row>
    <row r="3" spans="1:1">
      <c r="A3" s="280">
        <v>3662964000</v>
      </c>
    </row>
    <row r="4" spans="1:1">
      <c r="A4" s="280">
        <v>3517218000</v>
      </c>
    </row>
    <row r="5" spans="1:1">
      <c r="A5" s="280">
        <v>4902080000</v>
      </c>
    </row>
    <row r="6" spans="1:1">
      <c r="A6" s="280">
        <v>8220426000</v>
      </c>
    </row>
    <row r="7" spans="1:1">
      <c r="A7" s="280">
        <v>9932875918</v>
      </c>
    </row>
    <row r="8" spans="1:1">
      <c r="A8" s="280">
        <v>12002057314</v>
      </c>
    </row>
    <row r="9" spans="1:1">
      <c r="A9" s="280">
        <v>14502283222</v>
      </c>
    </row>
    <row r="10" spans="1:1">
      <c r="A10" s="280">
        <v>17523347302</v>
      </c>
    </row>
    <row r="11" spans="1:1">
      <c r="A11" s="281">
        <v>21173748710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DCF</vt:lpstr>
      <vt:lpstr>EBIT and CAPEX</vt:lpstr>
      <vt:lpstr>CFS</vt:lpstr>
      <vt:lpstr>WACC</vt:lpstr>
      <vt:lpstr>TOTAL DEBT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hakim</dc:creator>
  <cp:lastModifiedBy>omar hakim</cp:lastModifiedBy>
  <dcterms:created xsi:type="dcterms:W3CDTF">2024-05-11T07:48:37Z</dcterms:created>
  <dcterms:modified xsi:type="dcterms:W3CDTF">2024-08-16T07:18:42Z</dcterms:modified>
</cp:coreProperties>
</file>