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3f159de8c4c368/Documents/GitHub/Toys-Factory-Monthly-Sales/"/>
    </mc:Choice>
  </mc:AlternateContent>
  <xr:revisionPtr revIDLastSave="9" documentId="13_ncr:1_{C3D4D279-5E47-420D-988E-1FD5D71C4EBA}" xr6:coauthVersionLast="47" xr6:coauthVersionMax="47" xr10:uidLastSave="{2B3A68E5-3CE9-46A8-9C69-8A9141A2DA12}"/>
  <bookViews>
    <workbookView minimized="1" xWindow="3720" yWindow="3105" windowWidth="16200" windowHeight="6000" activeTab="2" xr2:uid="{EA944FB1-DE3F-40F9-BBAA-0980B1568DEE}"/>
  </bookViews>
  <sheets>
    <sheet name="Data" sheetId="16" r:id="rId1"/>
    <sheet name="Data Prep" sheetId="22" r:id="rId2"/>
    <sheet name="Dashboard" sheetId="24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_xlnm._FilterDatabase" localSheetId="1" hidden="1">'Data Prep'!$G$2:$J$14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2" l="1"/>
  <c r="Q4" i="22"/>
  <c r="B9" i="22" l="1"/>
  <c r="B3" i="22"/>
  <c r="I3" i="22" s="1"/>
  <c r="B8" i="22" l="1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3" i="22" l="1"/>
  <c r="E6" i="24" s="1"/>
  <c r="B10" i="22"/>
  <c r="I2" i="22" s="1"/>
  <c r="K4" i="22" l="1"/>
  <c r="K13" i="22"/>
  <c r="K5" i="22"/>
  <c r="K14" i="22"/>
  <c r="K12" i="22"/>
  <c r="K6" i="22"/>
  <c r="K3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AC4" i="22" l="1"/>
  <c r="AD4" i="22" s="1"/>
  <c r="AC31" i="22"/>
  <c r="AD31" i="22" s="1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Q11" i="22"/>
  <c r="Q10" i="22"/>
  <c r="Q9" i="22"/>
  <c r="Q5" i="22"/>
  <c r="Q8" i="22"/>
  <c r="Q7" i="22"/>
  <c r="Q12" i="22"/>
  <c r="Q6" i="22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4" i="22"/>
  <c r="E6" i="22" s="1"/>
  <c r="B19" i="24" s="1"/>
  <c r="E5" i="22"/>
  <c r="C19" i="24" s="1"/>
  <c r="AF22" i="22" l="1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T4" i="22"/>
  <c r="U4" i="22" s="1"/>
  <c r="T12" i="22"/>
  <c r="U12" i="22" s="1"/>
  <c r="T6" i="22"/>
  <c r="U6" i="22" s="1"/>
  <c r="V5" i="22"/>
  <c r="W9" i="22"/>
  <c r="T5" i="22"/>
  <c r="U5" i="22" s="1"/>
  <c r="T3" i="22"/>
  <c r="U3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<sst xmlns="http://schemas.openxmlformats.org/spreadsheetml/2006/main" count="26863" uniqueCount="127">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</sst>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9" fontId="0" fillId="0" borderId="0" xfId="1" applyFont="1"/>
    <xf numFmtId="0" fontId="1" fillId="9" borderId="0" xfId="0" applyFont="1" applyFill="1" applyAlignment="1">
      <alignment horizontal="right"/>
    </xf>
    <xf numFmtId="165" fontId="1" fillId="8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6" borderId="0" xfId="0" applyFont="1" applyFill="1" applyAlignment="1">
      <alignment horizontal="right"/>
    </xf>
    <xf numFmtId="0" fontId="9" fillId="0" borderId="0" xfId="0" applyFont="1"/>
    <xf numFmtId="0" fontId="9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1" defaultTableStyle="TableStyleMedium2" defaultPivotStyle="PivotStyleLight16">
    <tableStyle name="Invisible" pivot="0" table="0" count="0" xr9:uid="{3C24C111-285E-4F9A-8770-41AD483CD75E}"/>
  </tableStyles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'Data Prep'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6.7%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'Data Prep'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26.3%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10</xdr:col>
      <xdr:colOff>266700</xdr:colOff>
      <xdr:row>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274320</xdr:colOff>
      <xdr:row>7</xdr:row>
      <xdr:rowOff>91440</xdr:rowOff>
    </xdr:from>
    <xdr:to>
      <xdr:col>18</xdr:col>
      <xdr:colOff>22860</xdr:colOff>
      <xdr:row>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137160</xdr:rowOff>
    </xdr:from>
    <xdr:to>
      <xdr:col>3</xdr:col>
      <xdr:colOff>369570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91440</xdr:rowOff>
    </xdr:from>
    <xdr:to>
      <xdr:col>2</xdr:col>
      <xdr:colOff>459484</xdr:colOff>
      <xdr:row>20</xdr:row>
      <xdr:rowOff>198120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619636</xdr:colOff>
      <xdr:row>19</xdr:row>
      <xdr:rowOff>91440</xdr:rowOff>
    </xdr:from>
    <xdr:to>
      <xdr:col>3</xdr:col>
      <xdr:colOff>398656</xdr:colOff>
      <xdr:row>20</xdr:row>
      <xdr:rowOff>198120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45720</xdr:rowOff>
    </xdr:from>
    <xdr:to>
      <xdr:col>3</xdr:col>
      <xdr:colOff>723900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1173480</xdr:colOff>
      <xdr:row>9</xdr:row>
      <xdr:rowOff>129540</xdr:rowOff>
    </xdr:from>
    <xdr:to>
      <xdr:col>13</xdr:col>
      <xdr:colOff>266700</xdr:colOff>
      <xdr:row>11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304800</xdr:colOff>
      <xdr:row>9</xdr:row>
      <xdr:rowOff>152400</xdr:rowOff>
    </xdr:from>
    <xdr:to>
      <xdr:col>18</xdr:col>
      <xdr:colOff>76200</xdr:colOff>
      <xdr:row>11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350520</xdr:colOff>
      <xdr:row>22</xdr:row>
      <xdr:rowOff>167640</xdr:rowOff>
    </xdr:from>
    <xdr:to>
      <xdr:col>18</xdr:col>
      <xdr:colOff>121920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15240</xdr:colOff>
      <xdr:row>24</xdr:row>
      <xdr:rowOff>68580</xdr:rowOff>
    </xdr:from>
    <xdr:to>
      <xdr:col>3</xdr:col>
      <xdr:colOff>358140</xdr:colOff>
      <xdr:row>33</xdr:row>
      <xdr:rowOff>30480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297180" y="5113020"/>
          <a:ext cx="3223260" cy="1996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388620</xdr:colOff>
      <xdr:row>17</xdr:row>
      <xdr:rowOff>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81940" y="2324100"/>
          <a:ext cx="3268980" cy="1059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91440</xdr:colOff>
      <xdr:row>17</xdr:row>
      <xdr:rowOff>68580</xdr:rowOff>
    </xdr:from>
    <xdr:to>
      <xdr:col>3</xdr:col>
      <xdr:colOff>297180</xdr:colOff>
      <xdr:row>17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60960</xdr:rowOff>
    </xdr:from>
    <xdr:to>
      <xdr:col>2</xdr:col>
      <xdr:colOff>476250</xdr:colOff>
      <xdr:row>20</xdr:row>
      <xdr:rowOff>83820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</xdr:colOff>
      <xdr:row>23</xdr:row>
      <xdr:rowOff>175260</xdr:rowOff>
    </xdr:from>
    <xdr:to>
      <xdr:col>3</xdr:col>
      <xdr:colOff>472440</xdr:colOff>
      <xdr:row>33</xdr:row>
      <xdr:rowOff>68580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1143000</xdr:colOff>
      <xdr:row>11</xdr:row>
      <xdr:rowOff>175260</xdr:rowOff>
    </xdr:from>
    <xdr:to>
      <xdr:col>9</xdr:col>
      <xdr:colOff>253365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131445</xdr:colOff>
      <xdr:row>11</xdr:row>
      <xdr:rowOff>177165</xdr:rowOff>
    </xdr:from>
    <xdr:to>
      <xdr:col>13</xdr:col>
      <xdr:colOff>196215</xdr:colOff>
      <xdr:row>33</xdr:row>
      <xdr:rowOff>66007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>
      <selection activeCell="J2" sqref="J2"/>
    </sheetView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topLeftCell="O1" workbookViewId="0">
      <selection activeCell="AJ23" sqref="AJ23"/>
    </sheetView>
  </sheetViews>
  <sheetFormatPr defaultRowHeight="15" x14ac:dyDescent="0.25"/>
  <cols>
    <col min="1" max="1" width="15.85546875" bestFit="1" customWidth="1"/>
    <col min="2" max="2" width="11.42578125" bestFit="1" customWidth="1"/>
    <col min="4" max="4" width="14.42578125" bestFit="1" customWidth="1"/>
    <col min="5" max="5" width="12" bestFit="1" customWidth="1"/>
    <col min="13" max="13" width="13.7109375" customWidth="1"/>
    <col min="15" max="15" width="12.140625" bestFit="1" customWidth="1"/>
    <col min="16" max="16" width="11" bestFit="1" customWidth="1"/>
    <col min="20" max="20" width="11.7109375" bestFit="1" customWidth="1"/>
    <col min="21" max="21" width="11.7109375" customWidth="1"/>
    <col min="27" max="27" width="25.5703125" customWidth="1"/>
    <col min="28" max="28" width="10.42578125" customWidth="1"/>
    <col min="29" max="29" width="13.28515625" customWidth="1"/>
    <col min="30" max="30" width="12.28515625" customWidth="1"/>
    <col min="35" max="35" width="14.42578125" customWidth="1"/>
    <col min="36" max="36" width="11.85546875" customWidth="1"/>
    <col min="37" max="37" width="11.5703125" customWidth="1"/>
  </cols>
  <sheetData>
    <row r="1" spans="1:37" x14ac:dyDescent="0.25">
      <c r="A1" s="6" t="s">
        <v>76</v>
      </c>
      <c r="B1" s="6"/>
      <c r="D1" s="11" t="s">
        <v>84</v>
      </c>
      <c r="E1" s="11"/>
      <c r="G1" s="11" t="s">
        <v>91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109</v>
      </c>
      <c r="AI1" s="11"/>
      <c r="AJ1" s="11"/>
      <c r="AK1" s="11"/>
    </row>
    <row r="2" spans="1:37" x14ac:dyDescent="0.25">
      <c r="A2" s="7" t="s">
        <v>52</v>
      </c>
      <c r="B2" s="7" t="s">
        <v>77</v>
      </c>
      <c r="D2" s="8" t="s">
        <v>83</v>
      </c>
      <c r="E2" s="10">
        <f>SUMIFS(Data[Revenue],Data[Region],Region,Data[Month],CurMonth,Data[Year],CurYear)</f>
        <v>44041.12999999999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77</v>
      </c>
      <c r="M2" s="12" t="s">
        <v>63</v>
      </c>
      <c r="N2" s="12" t="s">
        <v>46</v>
      </c>
      <c r="O2" s="12" t="s">
        <v>100</v>
      </c>
      <c r="P2" s="14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4" t="s">
        <v>101</v>
      </c>
      <c r="X2" s="14" t="s">
        <v>77</v>
      </c>
      <c r="Y2" s="14" t="s">
        <v>77</v>
      </c>
      <c r="AA2" s="12" t="s">
        <v>105</v>
      </c>
      <c r="AB2" s="12" t="s">
        <v>46</v>
      </c>
      <c r="AC2" s="12" t="s">
        <v>100</v>
      </c>
      <c r="AD2" s="12" t="s">
        <v>106</v>
      </c>
      <c r="AE2" s="12" t="s">
        <v>107</v>
      </c>
      <c r="AF2" s="12" t="s">
        <v>108</v>
      </c>
      <c r="AH2" s="12" t="s">
        <v>102</v>
      </c>
      <c r="AI2" s="12" t="s">
        <v>105</v>
      </c>
      <c r="AJ2" s="12" t="s">
        <v>46</v>
      </c>
      <c r="AK2" s="12" t="s">
        <v>106</v>
      </c>
    </row>
    <row r="3" spans="1:37" x14ac:dyDescent="0.25">
      <c r="A3" t="s">
        <v>4</v>
      </c>
      <c r="B3" t="str">
        <f>Dashboard!C6</f>
        <v>Los Angeles</v>
      </c>
      <c r="D3" s="8" t="s">
        <v>85</v>
      </c>
      <c r="E3" s="10">
        <f>SUMIFS(Data[Revenue],Data[Region],Region,Data[Month],CurMonth,Data[Year],PrevYear)</f>
        <v>34881.53</v>
      </c>
      <c r="G3">
        <v>1</v>
      </c>
      <c r="H3" t="s">
        <v>92</v>
      </c>
      <c r="I3" s="3">
        <f>SUMIFS(Data[[Revenue]:[Revenue]],Data[[Region]:[Region]],Region,Data[[Month]:[Month]],'Data Prep'!$G3,Data[[Year]:[Year]],'Data Prep'!I$2)</f>
        <v>37135.47</v>
      </c>
      <c r="J3" s="3">
        <f>IF(G3&gt;CurMonth,NA(),SUMIFS(Data[[Revenue]:[Revenue]],Data[[Region]:[Region]],Region,Data[[Month]:[Month]],'Data Prep'!$G3,Data[[Year]:[Year]],'Data Prep'!J$2))</f>
        <v>51959.660000000011</v>
      </c>
      <c r="K3" s="3" t="e">
        <f t="shared" ref="K3:K14" si="0">IF(G3=CurMonth,J3,NA())</f>
        <v>#N/A</v>
      </c>
      <c r="M3" t="s">
        <v>59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3">
        <f t="shared" ref="V3:W3" si="2">INDEX($M$3:$P$12,MATCH($S3,$Q$3:$Q$12,0),MATCH(V$2,$M$2:$P$2,0))</f>
        <v>7721.8800000000019</v>
      </c>
      <c r="W3" s="13">
        <f t="shared" si="2"/>
        <v>-0.23788412342481746</v>
      </c>
      <c r="X3" s="3">
        <f t="shared" ref="X3:X12" si="3">IF($U3=Region,V3,0)</f>
        <v>0</v>
      </c>
      <c r="Y3" s="13">
        <f t="shared" ref="Y3:Y12" si="4">IF($U3=Region,W3,0)</f>
        <v>0</v>
      </c>
      <c r="AA3" t="s">
        <v>13</v>
      </c>
      <c r="AB3" s="3">
        <f>SUMIFS(Data[Revenue],Data[Region],Region,Data[Month],CurMonth,Data[Year],CurYear,Data[Product Name],'Data Prep'!AA3)</f>
        <v>1662.96</v>
      </c>
      <c r="AC3" s="3">
        <f>SUMIFS(Data[Revenue],Data[Region],Region,Data[Month],PrevMonth,Data[Year],PMYear,Data[Product Name],'Data Prep'!AA3)</f>
        <v>1087.3200000000002</v>
      </c>
      <c r="AD3" s="2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3">
        <f t="shared" ref="AJ3:AK8" si="5">INDEX($AA$3:$AD$36,MATCH($AH3,$AE$3:$AE$36,0),MATCH(AJ$2,$AA$2:$AD$2,0))</f>
        <v>6523.92</v>
      </c>
      <c r="AK3" s="3">
        <f t="shared" si="5"/>
        <v>3293.9400000000005</v>
      </c>
    </row>
    <row r="4" spans="1:37" x14ac:dyDescent="0.25">
      <c r="A4" t="s">
        <v>5</v>
      </c>
      <c r="D4" s="8" t="s">
        <v>86</v>
      </c>
      <c r="E4" s="10">
        <f>SUMIFS(Data[Revenue],Data[Region],Region,Data[Month],PrevMonth,Data[Year],PMYear)</f>
        <v>41270.179999999986</v>
      </c>
      <c r="G4">
        <v>2</v>
      </c>
      <c r="H4" t="s">
        <v>93</v>
      </c>
      <c r="I4" s="3">
        <f>SUMIFS(Data[[Revenue]:[Revenue]],Data[[Region]:[Region]],Region,Data[[Month]:[Month]],'Data Prep'!$G4,Data[[Year]:[Year]],'Data Prep'!I$2)</f>
        <v>31324.390000000007</v>
      </c>
      <c r="J4" s="3">
        <f>IF(G4&gt;CurMonth,NA(),SUMIFS(Data[[Revenue]:[Revenue]],Data[[Region]:[Region]],Region,Data[[Month]:[Month]],'Data Prep'!$G4,Data[[Year]:[Year]],'Data Prep'!J$2))</f>
        <v>53726.850000000006</v>
      </c>
      <c r="K4" s="3" t="e">
        <f t="shared" si="0"/>
        <v>#N/A</v>
      </c>
      <c r="M4" t="s">
        <v>56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3">
        <f t="shared" si="1"/>
        <v>0.38157142957292312</v>
      </c>
      <c r="Q4">
        <f>_xlfn.RANK.AVG(N4,$N$3:$N$12,1)</f>
        <v>4</v>
      </c>
      <c r="S4">
        <v>2</v>
      </c>
      <c r="T4" t="str">
        <f t="shared" ref="T4:W12" si="6">INDEX($M$3:$P$12,MATCH($S4,$Q$3:$Q$12,0),MATCH(T$2,$M$2:$P$2,0))</f>
        <v>Hollywood</v>
      </c>
      <c r="U4" t="str">
        <f>VLOOKUP(T4,Data[[Store Name]:[Region]],2,0)</f>
        <v>Los Angeles</v>
      </c>
      <c r="V4" s="3">
        <f t="shared" si="6"/>
        <v>10103.540000000001</v>
      </c>
      <c r="W4" s="13">
        <f t="shared" si="6"/>
        <v>0.27268490293194403</v>
      </c>
      <c r="X4" s="3">
        <f t="shared" si="3"/>
        <v>10103.540000000001</v>
      </c>
      <c r="Y4" s="13">
        <f t="shared" si="4"/>
        <v>0.27268490293194403</v>
      </c>
      <c r="AA4" t="s">
        <v>24</v>
      </c>
      <c r="AB4" s="3">
        <f>SUMIFS(Data[Revenue],Data[Region],Region,Data[Month],CurMonth,Data[Year],CurYear,Data[Product Name],'Data Prep'!AA4)</f>
        <v>1675.71</v>
      </c>
      <c r="AC4" s="3">
        <f>SUMIFS(Data[Revenue],Data[Region],Region,Data[Month],PrevMonth,Data[Year],PMYear,Data[Product Name],'Data Prep'!AA4)</f>
        <v>2805.84</v>
      </c>
      <c r="AD4" s="2">
        <f t="shared" ref="AD4:AD36" si="7">AB4-AC4</f>
        <v>-1130.1300000000001</v>
      </c>
      <c r="AE4">
        <f t="shared" ref="AE4:AE36" si="8">_xlfn.RANK.AVG(AD4,$AD$3:$AD$36,0)</f>
        <v>32</v>
      </c>
      <c r="AF4">
        <f t="shared" ref="AF4:AF36" si="9">_xlfn.RANK.AVG(AD4,$AD$3:$AD$36,1)</f>
        <v>3</v>
      </c>
      <c r="AH4">
        <v>2</v>
      </c>
      <c r="AI4" t="str">
        <f t="shared" ref="AI4:AI8" si="10">INDEX($AA$3:$AD$36,MATCH($AH4,$AE$3:$AE$36,0),MATCH(AI$2,$AA$2:$AD$2,0))</f>
        <v>Toy Robot</v>
      </c>
      <c r="AJ4" s="3">
        <f t="shared" si="5"/>
        <v>1533.4099999999999</v>
      </c>
      <c r="AK4" s="3">
        <f t="shared" si="5"/>
        <v>1533.4099999999999</v>
      </c>
    </row>
    <row r="5" spans="1:37" x14ac:dyDescent="0.25">
      <c r="A5" t="s">
        <v>48</v>
      </c>
      <c r="D5" s="8" t="s">
        <v>88</v>
      </c>
      <c r="E5" s="15">
        <f>E2/E3-1</f>
        <v>0.26259169250890069</v>
      </c>
      <c r="G5">
        <v>3</v>
      </c>
      <c r="H5" t="s">
        <v>98</v>
      </c>
      <c r="I5" s="3">
        <f>SUMIFS(Data[[Revenue]:[Revenue]],Data[[Region]:[Region]],Region,Data[[Month]:[Month]],'Data Prep'!$G5,Data[[Year]:[Year]],'Data Prep'!I$2)</f>
        <v>38310.149999999987</v>
      </c>
      <c r="J5" s="3">
        <f>IF(G5&gt;CurMonth,NA(),SUMIFS(Data[[Revenue]:[Revenue]],Data[[Region]:[Region]],Region,Data[[Month]:[Month]],'Data Prep'!$G5,Data[[Year]:[Year]],'Data Prep'!J$2))</f>
        <v>53604.229999999989</v>
      </c>
      <c r="K5" s="3" t="e">
        <f t="shared" si="0"/>
        <v>#N/A</v>
      </c>
      <c r="M5" t="s">
        <v>54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3">
        <f t="shared" si="1"/>
        <v>-0.23788412342481746</v>
      </c>
      <c r="Q5">
        <f t="shared" ref="Q5:Q12" si="11">_xlfn.RANK.AVG(N5,$N$3:$N$12,1)</f>
        <v>1</v>
      </c>
      <c r="S5">
        <v>3</v>
      </c>
      <c r="T5" t="str">
        <f t="shared" si="6"/>
        <v>JFK</v>
      </c>
      <c r="U5" t="str">
        <f>VLOOKUP(T5,Data[[Store Name]:[Region]],2,0)</f>
        <v>New York</v>
      </c>
      <c r="V5" s="3">
        <f t="shared" si="6"/>
        <v>13879.13</v>
      </c>
      <c r="W5" s="13">
        <f t="shared" si="6"/>
        <v>5.7257752439920262E-2</v>
      </c>
      <c r="X5" s="3">
        <f t="shared" si="3"/>
        <v>0</v>
      </c>
      <c r="Y5" s="13">
        <f t="shared" si="4"/>
        <v>0</v>
      </c>
      <c r="AA5" t="s">
        <v>18</v>
      </c>
      <c r="AB5" s="3">
        <f>SUMIFS(Data[Revenue],Data[Region],Region,Data[Month],CurMonth,Data[Year],CurYear,Data[Product Name],'Data Prep'!AA5)</f>
        <v>233.82</v>
      </c>
      <c r="AC5" s="3">
        <f>SUMIFS(Data[Revenue],Data[Region],Region,Data[Month],PrevMonth,Data[Year],PMYear,Data[Product Name],'Data Prep'!AA5)</f>
        <v>0</v>
      </c>
      <c r="AD5" s="2">
        <f t="shared" si="7"/>
        <v>233.82</v>
      </c>
      <c r="AE5">
        <f t="shared" si="8"/>
        <v>10</v>
      </c>
      <c r="AF5">
        <f t="shared" si="9"/>
        <v>25</v>
      </c>
      <c r="AH5">
        <v>3</v>
      </c>
      <c r="AI5" t="str">
        <f t="shared" si="10"/>
        <v>Glass Marbles</v>
      </c>
      <c r="AJ5" s="3">
        <f t="shared" si="5"/>
        <v>1329.79</v>
      </c>
      <c r="AK5" s="3">
        <f t="shared" si="5"/>
        <v>615.44000000000005</v>
      </c>
    </row>
    <row r="6" spans="1:37" x14ac:dyDescent="0.25">
      <c r="D6" s="8" t="s">
        <v>89</v>
      </c>
      <c r="E6" s="15">
        <f>E2/E4-1</f>
        <v>6.7141698921594273E-2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43124.819999999992</v>
      </c>
      <c r="J6" s="3">
        <f>IF(G6&gt;CurMonth,NA(),SUMIFS(Data[[Revenue]:[Revenue]],Data[[Region]:[Region]],Region,Data[[Month]:[Month]],'Data Prep'!$G6,Data[[Year]:[Year]],'Data Prep'!J$2))</f>
        <v>50597.080000000009</v>
      </c>
      <c r="K6" s="3" t="e">
        <f t="shared" si="0"/>
        <v>#N/A</v>
      </c>
      <c r="M6" t="s">
        <v>55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11"/>
        <v>9</v>
      </c>
      <c r="S6">
        <v>4</v>
      </c>
      <c r="T6" t="str">
        <f t="shared" si="6"/>
        <v>Beverly Hills</v>
      </c>
      <c r="U6" t="str">
        <f>VLOOKUP(T6,Data[[Store Name]:[Region]],2,0)</f>
        <v>Los Angeles</v>
      </c>
      <c r="V6" s="3">
        <f t="shared" si="6"/>
        <v>15765.830000000002</v>
      </c>
      <c r="W6" s="13">
        <f t="shared" si="6"/>
        <v>0.38157142957292312</v>
      </c>
      <c r="X6" s="3">
        <f t="shared" si="3"/>
        <v>15765.830000000002</v>
      </c>
      <c r="Y6" s="13">
        <f t="shared" si="4"/>
        <v>0.38157142957292312</v>
      </c>
      <c r="AA6" t="s">
        <v>30</v>
      </c>
      <c r="AB6" s="3">
        <f>SUMIFS(Data[Revenue],Data[Region],Region,Data[Month],CurMonth,Data[Year],CurYear,Data[Product Name],'Data Prep'!AA6)</f>
        <v>249.75</v>
      </c>
      <c r="AC6" s="3">
        <f>SUMIFS(Data[Revenue],Data[Region],Region,Data[Month],PrevMonth,Data[Year],PMYear,Data[Product Name],'Data Prep'!AA6)</f>
        <v>0</v>
      </c>
      <c r="AD6" s="2">
        <f t="shared" si="7"/>
        <v>249.75</v>
      </c>
      <c r="AE6">
        <f t="shared" si="8"/>
        <v>9</v>
      </c>
      <c r="AF6">
        <f t="shared" si="9"/>
        <v>26</v>
      </c>
      <c r="AH6">
        <v>4</v>
      </c>
      <c r="AI6" t="str">
        <f t="shared" si="10"/>
        <v>Action Figure</v>
      </c>
      <c r="AJ6" s="3">
        <f t="shared" si="5"/>
        <v>1662.96</v>
      </c>
      <c r="AK6" s="3">
        <f t="shared" si="5"/>
        <v>575.63999999999987</v>
      </c>
    </row>
    <row r="7" spans="1:37" x14ac:dyDescent="0.25">
      <c r="A7" s="6" t="s">
        <v>78</v>
      </c>
      <c r="B7" s="6"/>
      <c r="G7">
        <v>5</v>
      </c>
      <c r="H7" t="s">
        <v>98</v>
      </c>
      <c r="I7" s="3">
        <f>SUMIFS(Data[[Revenue]:[Revenue]],Data[[Region]:[Region]],Region,Data[[Month]:[Month]],'Data Prep'!$G7,Data[[Year]:[Year]],'Data Prep'!I$2)</f>
        <v>48602.219999999994</v>
      </c>
      <c r="J7" s="3">
        <f>IF(G7&gt;CurMonth,NA(),SUMIFS(Data[[Revenue]:[Revenue]],Data[[Region]:[Region]],Region,Data[[Month]:[Month]],'Data Prep'!$G7,Data[[Year]:[Year]],'Data Prep'!J$2))</f>
        <v>66944.169999999984</v>
      </c>
      <c r="K7" s="3" t="e">
        <f t="shared" si="0"/>
        <v>#N/A</v>
      </c>
      <c r="M7" t="s">
        <v>53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11"/>
        <v>6</v>
      </c>
      <c r="S7">
        <v>5</v>
      </c>
      <c r="T7" t="str">
        <f t="shared" si="6"/>
        <v>Fifth Avenue</v>
      </c>
      <c r="U7" t="str">
        <f>VLOOKUP(T7,Data[[Store Name]:[Region]],2,0)</f>
        <v>New York</v>
      </c>
      <c r="V7" s="3">
        <f t="shared" si="6"/>
        <v>16255.230000000001</v>
      </c>
      <c r="W7" s="13">
        <f t="shared" si="6"/>
        <v>-0.13607835613264074</v>
      </c>
      <c r="X7" s="3">
        <f t="shared" si="3"/>
        <v>0</v>
      </c>
      <c r="Y7" s="13">
        <f t="shared" si="4"/>
        <v>0</v>
      </c>
      <c r="AA7" t="s">
        <v>20</v>
      </c>
      <c r="AB7" s="3">
        <f>SUMIFS(Data[Revenue],Data[Region],Region,Data[Month],CurMonth,Data[Year],CurYear,Data[Product Name],'Data Prep'!AA7)</f>
        <v>4467.0200000000004</v>
      </c>
      <c r="AC7" s="3">
        <f>SUMIFS(Data[Revenue],Data[Region],Region,Data[Month],PrevMonth,Data[Year],PMYear,Data[Product Name],'Data Prep'!AA7)</f>
        <v>4377.08</v>
      </c>
      <c r="AD7" s="2">
        <f t="shared" si="7"/>
        <v>89.940000000000509</v>
      </c>
      <c r="AE7">
        <f t="shared" si="8"/>
        <v>13</v>
      </c>
      <c r="AF7">
        <f t="shared" si="9"/>
        <v>22</v>
      </c>
      <c r="AH7">
        <v>5</v>
      </c>
      <c r="AI7" t="str">
        <f t="shared" si="10"/>
        <v>Splash Balls</v>
      </c>
      <c r="AJ7" s="3">
        <f t="shared" si="5"/>
        <v>836.07</v>
      </c>
      <c r="AK7" s="3">
        <f t="shared" si="5"/>
        <v>440.51000000000005</v>
      </c>
    </row>
    <row r="8" spans="1:37" x14ac:dyDescent="0.25">
      <c r="A8" s="8" t="s">
        <v>79</v>
      </c>
      <c r="B8" s="9">
        <f>MAX(Data[Year])</f>
        <v>2021</v>
      </c>
      <c r="G8">
        <v>6</v>
      </c>
      <c r="H8" t="s">
        <v>92</v>
      </c>
      <c r="I8" s="3">
        <f>SUMIFS(Data[[Revenue]:[Revenue]],Data[[Region]:[Region]],Region,Data[[Month]:[Month]],'Data Prep'!$G8,Data[[Year]:[Year]],'Data Prep'!I$2)</f>
        <v>42487.139999999992</v>
      </c>
      <c r="J8" s="3">
        <f>IF(G8&gt;CurMonth,NA(),SUMIFS(Data[[Revenue]:[Revenue]],Data[[Region]:[Region]],Region,Data[[Month]:[Month]],'Data Prep'!$G8,Data[[Year]:[Year]],'Data Prep'!J$2))</f>
        <v>46196.220000000008</v>
      </c>
      <c r="K8" s="3" t="e">
        <f t="shared" si="0"/>
        <v>#N/A</v>
      </c>
      <c r="M8" t="s">
        <v>58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11"/>
        <v>5</v>
      </c>
      <c r="S8">
        <v>6</v>
      </c>
      <c r="T8" t="str">
        <f t="shared" si="6"/>
        <v>Lincoln Park</v>
      </c>
      <c r="U8" t="str">
        <f>VLOOKUP(T8,Data[[Store Name]:[Region]],2,0)</f>
        <v>Chicago</v>
      </c>
      <c r="V8" s="3">
        <f>INDEX($M$3:$P$12,MATCH($S8,$Q$3:$Q$12,0),MATCH(V$2,$M$2:$P$2,0))</f>
        <v>17505.330000000002</v>
      </c>
      <c r="W8" s="13">
        <f t="shared" si="6"/>
        <v>2.6734476982343214E-2</v>
      </c>
      <c r="X8" s="3">
        <f t="shared" si="3"/>
        <v>0</v>
      </c>
      <c r="Y8" s="13">
        <f t="shared" si="4"/>
        <v>0</v>
      </c>
      <c r="AA8" t="s">
        <v>25</v>
      </c>
      <c r="AB8" s="3">
        <f>SUMIFS(Data[Revenue],Data[Region],Region,Data[Month],CurMonth,Data[Year],CurYear,Data[Product Name],'Data Prep'!AA8)</f>
        <v>575.64</v>
      </c>
      <c r="AC8" s="3">
        <f>SUMIFS(Data[Revenue],Data[Region],Region,Data[Month],PrevMonth,Data[Year],PMYear,Data[Product Name],'Data Prep'!AA8)</f>
        <v>1263.21</v>
      </c>
      <c r="AD8" s="2">
        <f t="shared" si="7"/>
        <v>-687.57</v>
      </c>
      <c r="AE8">
        <f t="shared" si="8"/>
        <v>31</v>
      </c>
      <c r="AF8">
        <f t="shared" si="9"/>
        <v>4</v>
      </c>
      <c r="AH8">
        <v>6</v>
      </c>
      <c r="AI8" t="str">
        <f t="shared" si="10"/>
        <v>PlayDoh Toolkit</v>
      </c>
      <c r="AJ8" s="3">
        <f t="shared" si="5"/>
        <v>469.06</v>
      </c>
      <c r="AK8" s="3">
        <f t="shared" si="5"/>
        <v>439.12</v>
      </c>
    </row>
    <row r="9" spans="1:37" x14ac:dyDescent="0.25">
      <c r="A9" s="8" t="s">
        <v>80</v>
      </c>
      <c r="B9" s="9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SUMIFS(Data[[Revenue]:[Revenue]],Data[[Region]:[Region]],Region,Data[[Month]:[Month]],'Data Prep'!$G9,Data[[Year]:[Year]],'Data Prep'!I$2)</f>
        <v>44643.76</v>
      </c>
      <c r="J9" s="3">
        <f>IF(G9&gt;CurMonth,NA(),SUMIFS(Data[[Revenue]:[Revenue]],Data[[Region]:[Region]],Region,Data[[Month]:[Month]],'Data Prep'!$G9,Data[[Year]:[Year]],'Data Prep'!J$2))</f>
        <v>59782.98000000001</v>
      </c>
      <c r="K9" s="3" t="e">
        <f t="shared" si="0"/>
        <v>#N/A</v>
      </c>
      <c r="M9" t="s">
        <v>62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3">
        <f t="shared" si="1"/>
        <v>0.14465033810308014</v>
      </c>
      <c r="Q9">
        <f t="shared" si="11"/>
        <v>10</v>
      </c>
      <c r="S9">
        <v>7</v>
      </c>
      <c r="T9" t="str">
        <f t="shared" si="6"/>
        <v>LAX</v>
      </c>
      <c r="U9" t="str">
        <f>VLOOKUP(T9,Data[[Store Name]:[Region]],2,0)</f>
        <v>Los Angeles</v>
      </c>
      <c r="V9" s="3">
        <f t="shared" si="6"/>
        <v>18171.759999999995</v>
      </c>
      <c r="W9" s="13">
        <f t="shared" si="6"/>
        <v>-0.17099256839675403</v>
      </c>
      <c r="X9" s="3">
        <f t="shared" si="3"/>
        <v>18171.759999999995</v>
      </c>
      <c r="Y9" s="13">
        <f t="shared" si="4"/>
        <v>-0.17099256839675403</v>
      </c>
      <c r="AA9" t="s">
        <v>8</v>
      </c>
      <c r="AB9" s="3">
        <f>SUMIFS(Data[Revenue],Data[Region],Region,Data[Month],CurMonth,Data[Year],CurYear,Data[Product Name],'Data Prep'!AA9)</f>
        <v>2334.66</v>
      </c>
      <c r="AC9" s="3">
        <f>SUMIFS(Data[Revenue],Data[Region],Region,Data[Month],PrevMonth,Data[Year],PMYear,Data[Product Name],'Data Prep'!AA9)</f>
        <v>2006.13</v>
      </c>
      <c r="AD9" s="2">
        <f t="shared" si="7"/>
        <v>328.52999999999975</v>
      </c>
      <c r="AE9">
        <f t="shared" si="8"/>
        <v>8</v>
      </c>
      <c r="AF9">
        <f t="shared" si="9"/>
        <v>27</v>
      </c>
    </row>
    <row r="10" spans="1:37" x14ac:dyDescent="0.25">
      <c r="A10" s="8" t="s">
        <v>81</v>
      </c>
      <c r="B10" s="9">
        <f>CurYear-1</f>
        <v>2020</v>
      </c>
      <c r="G10">
        <v>8</v>
      </c>
      <c r="H10" t="s">
        <v>94</v>
      </c>
      <c r="I10" s="3">
        <f>SUMIFS(Data[[Revenue]:[Revenue]],Data[[Region]:[Region]],Region,Data[[Month]:[Month]],'Data Prep'!$G10,Data[[Year]:[Year]],'Data Prep'!I$2)</f>
        <v>36202.770000000004</v>
      </c>
      <c r="J10" s="3">
        <f>IF(G10&gt;CurMonth,NA(),SUMIFS(Data[[Revenue]:[Revenue]],Data[[Region]:[Region]],Region,Data[[Month]:[Month]],'Data Prep'!$G10,Data[[Year]:[Year]],'Data Prep'!J$2))</f>
        <v>41270.179999999986</v>
      </c>
      <c r="K10" s="3" t="e">
        <f t="shared" si="0"/>
        <v>#N/A</v>
      </c>
      <c r="M10" t="s">
        <v>60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11"/>
        <v>3</v>
      </c>
      <c r="S10">
        <v>8</v>
      </c>
      <c r="T10" t="str">
        <f t="shared" si="6"/>
        <v>O'Hare</v>
      </c>
      <c r="U10" t="str">
        <f>VLOOKUP(T10,Data[[Store Name]:[Region]],2,0)</f>
        <v>Chicago</v>
      </c>
      <c r="V10" s="3">
        <f t="shared" si="6"/>
        <v>18237.980000000003</v>
      </c>
      <c r="W10" s="13">
        <f t="shared" si="6"/>
        <v>-0.3315731431233282</v>
      </c>
      <c r="X10" s="3">
        <f t="shared" si="3"/>
        <v>0</v>
      </c>
      <c r="Y10" s="13">
        <f t="shared" si="4"/>
        <v>0</v>
      </c>
      <c r="AA10" t="s">
        <v>17</v>
      </c>
      <c r="AB10" s="3">
        <f>SUMIFS(Data[Revenue],Data[Region],Region,Data[Month],CurMonth,Data[Year],CurYear,Data[Product Name],'Data Prep'!AA10)</f>
        <v>2659.58</v>
      </c>
      <c r="AC10" s="3">
        <f>SUMIFS(Data[Revenue],Data[Region],Region,Data[Month],PrevMonth,Data[Year],PMYear,Data[Product Name],'Data Prep'!AA10)</f>
        <v>3901.45</v>
      </c>
      <c r="AD10" s="2">
        <f t="shared" si="7"/>
        <v>-1241.8699999999999</v>
      </c>
      <c r="AE10">
        <f t="shared" si="8"/>
        <v>33</v>
      </c>
      <c r="AF10">
        <f t="shared" si="9"/>
        <v>2</v>
      </c>
      <c r="AH10" s="11" t="s">
        <v>110</v>
      </c>
      <c r="AI10" s="11"/>
      <c r="AJ10" s="11"/>
      <c r="AK10" s="11"/>
    </row>
    <row r="11" spans="1:37" x14ac:dyDescent="0.25">
      <c r="A11" s="8" t="s">
        <v>82</v>
      </c>
      <c r="B11" s="9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SUMIFS(Data[[Revenue]:[Revenue]],Data[[Region]:[Region]],Region,Data[[Month]:[Month]],'Data Prep'!$G11,Data[[Year]:[Year]],'Data Prep'!I$2)</f>
        <v>34881.53</v>
      </c>
      <c r="J11" s="3">
        <f>IF(G11&gt;CurMonth,NA(),SUMIFS(Data[[Revenue]:[Revenue]],Data[[Region]:[Region]],Region,Data[[Month]:[Month]],'Data Prep'!$G11,Data[[Year]:[Year]],'Data Prep'!J$2))</f>
        <v>44041.12999999999</v>
      </c>
      <c r="K11" s="3">
        <f t="shared" si="0"/>
        <v>44041.12999999999</v>
      </c>
      <c r="M11" t="s">
        <v>61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11"/>
        <v>7</v>
      </c>
      <c r="S11">
        <v>9</v>
      </c>
      <c r="T11" t="str">
        <f t="shared" si="6"/>
        <v>Millenium</v>
      </c>
      <c r="U11" t="str">
        <f>VLOOKUP(T11,Data[[Store Name]:[Region]],2,0)</f>
        <v>Chicago</v>
      </c>
      <c r="V11" s="3">
        <f t="shared" si="6"/>
        <v>18238.46</v>
      </c>
      <c r="W11" s="13">
        <f t="shared" si="6"/>
        <v>0.18953874088693379</v>
      </c>
      <c r="X11" s="3">
        <f t="shared" si="3"/>
        <v>0</v>
      </c>
      <c r="Y11" s="13">
        <f t="shared" si="4"/>
        <v>0</v>
      </c>
      <c r="AA11" t="s">
        <v>28</v>
      </c>
      <c r="AB11" s="3">
        <f>SUMIFS(Data[Revenue],Data[Region],Region,Data[Month],CurMonth,Data[Year],CurYear,Data[Product Name],'Data Prep'!AA11)</f>
        <v>1424.05</v>
      </c>
      <c r="AC11" s="3">
        <f>SUMIFS(Data[Revenue],Data[Region],Region,Data[Month],PrevMonth,Data[Year],PMYear,Data[Product Name],'Data Prep'!AA11)</f>
        <v>1469.02</v>
      </c>
      <c r="AD11" s="2">
        <f t="shared" si="7"/>
        <v>-44.970000000000027</v>
      </c>
      <c r="AE11">
        <f t="shared" si="8"/>
        <v>22</v>
      </c>
      <c r="AF11">
        <f t="shared" si="9"/>
        <v>13</v>
      </c>
      <c r="AH11" s="12" t="s">
        <v>102</v>
      </c>
      <c r="AI11" s="12" t="s">
        <v>105</v>
      </c>
      <c r="AJ11" s="12" t="s">
        <v>46</v>
      </c>
      <c r="AK11" s="12" t="s">
        <v>106</v>
      </c>
    </row>
    <row r="12" spans="1:37" x14ac:dyDescent="0.25">
      <c r="A12" s="8" t="s">
        <v>87</v>
      </c>
      <c r="B12" s="9">
        <f>IF(CurMonth=1,PrevYear,CurYear)</f>
        <v>2021</v>
      </c>
      <c r="G12">
        <v>10</v>
      </c>
      <c r="H12" t="s">
        <v>96</v>
      </c>
      <c r="I12" s="3">
        <f>SUMIFS(Data[[Revenue]:[Revenue]],Data[[Region]:[Region]],Region,Data[[Month]:[Month]],'Data Prep'!$G12,Data[[Year]:[Year]],'Data Prep'!I$2)</f>
        <v>43505.939999999995</v>
      </c>
      <c r="J12" s="3" t="e">
        <f>IF(G12&gt;CurMonth,NA(),SUMIFS(Data[[Revenue]:[Revenue]],Data[[Region]:[Region]],Region,Data[[Month]:[Month]],'Data Prep'!$G12,Data[[Year]:[Year]],'Data Prep'!J$2))</f>
        <v>#N/A</v>
      </c>
      <c r="K12" s="3" t="e">
        <f t="shared" si="0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11"/>
        <v>8</v>
      </c>
      <c r="S12">
        <v>10</v>
      </c>
      <c r="T12" t="str">
        <f t="shared" si="6"/>
        <v>Times Square</v>
      </c>
      <c r="U12" t="str">
        <f>VLOOKUP(T12,Data[[Store Name]:[Region]],2,0)</f>
        <v>New York</v>
      </c>
      <c r="V12" s="3">
        <f t="shared" si="6"/>
        <v>20484.010000000002</v>
      </c>
      <c r="W12" s="13">
        <f t="shared" si="6"/>
        <v>0.14465033810308014</v>
      </c>
      <c r="X12" s="3">
        <f t="shared" si="3"/>
        <v>0</v>
      </c>
      <c r="Y12" s="13">
        <f t="shared" si="4"/>
        <v>0</v>
      </c>
      <c r="AA12" t="s">
        <v>32</v>
      </c>
      <c r="AB12" s="3">
        <f>SUMIFS(Data[Revenue],Data[Region],Region,Data[Month],CurMonth,Data[Year],CurYear,Data[Product Name],'Data Prep'!AA12)</f>
        <v>1329.79</v>
      </c>
      <c r="AC12" s="3">
        <f>SUMIFS(Data[Revenue],Data[Region],Region,Data[Month],PrevMonth,Data[Year],PMYear,Data[Product Name],'Data Prep'!AA12)</f>
        <v>714.34999999999991</v>
      </c>
      <c r="AD12" s="2">
        <f t="shared" si="7"/>
        <v>615.44000000000005</v>
      </c>
      <c r="AE12">
        <f t="shared" si="8"/>
        <v>3</v>
      </c>
      <c r="AF12">
        <f t="shared" si="9"/>
        <v>32</v>
      </c>
      <c r="AH12">
        <v>1</v>
      </c>
      <c r="AI12" t="str">
        <f>INDEX($AA$3:$AD$36,MATCH($AH12,$AF$3:$AF$36,0),MATCH(AI$2,$AA$2:$AD$2,0))</f>
        <v>Rubik's Cube</v>
      </c>
      <c r="AJ12" s="3">
        <f t="shared" ref="AJ12:AK17" si="12">INDEX($AA$3:$AD$36,MATCH($AH12,$AF$3:$AF$36,0),MATCH(AJ$2,$AA$2:$AD$2,0))</f>
        <v>1479.2599999999998</v>
      </c>
      <c r="AK12" s="3">
        <f t="shared" si="12"/>
        <v>-2598.6999999999998</v>
      </c>
    </row>
    <row r="13" spans="1:37" x14ac:dyDescent="0.25">
      <c r="A13" s="8" t="s">
        <v>113</v>
      </c>
      <c r="B13" t="str">
        <f>VLOOKUP(CurMonth,A16:B27,2,0)&amp;" "&amp;CurYear</f>
        <v>September 2021</v>
      </c>
      <c r="G13">
        <v>11</v>
      </c>
      <c r="H13" t="s">
        <v>97</v>
      </c>
      <c r="I13" s="3">
        <f>SUMIFS(Data[[Revenue]:[Revenue]],Data[[Region]:[Region]],Region,Data[[Month]:[Month]],'Data Prep'!$G13,Data[[Year]:[Year]],'Data Prep'!I$2)</f>
        <v>43677.41</v>
      </c>
      <c r="J13" s="3" t="e">
        <f>IF(G13&gt;CurMonth,NA(),SUMIFS(Data[[Revenue]:[Revenue]],Data[[Region]:[Region]],Region,Data[[Month]:[Month]],'Data Prep'!$G13,Data[[Year]:[Year]],'Data Prep'!J$2))</f>
        <v>#N/A</v>
      </c>
      <c r="K13" s="3" t="e">
        <f t="shared" si="0"/>
        <v>#N/A</v>
      </c>
      <c r="AA13" t="s">
        <v>31</v>
      </c>
      <c r="AB13" s="3">
        <f>SUMIFS(Data[Revenue],Data[Region],Region,Data[Month],CurMonth,Data[Year],CurYear,Data[Product Name],'Data Prep'!AA13)</f>
        <v>1019.4899999999999</v>
      </c>
      <c r="AC13" s="3">
        <f>SUMIFS(Data[Revenue],Data[Region],Region,Data[Month],PrevMonth,Data[Year],PMYear,Data[Product Name],'Data Prep'!AA13)</f>
        <v>919.54</v>
      </c>
      <c r="AD13" s="2">
        <f t="shared" si="7"/>
        <v>99.949999999999932</v>
      </c>
      <c r="AE13">
        <f t="shared" si="8"/>
        <v>11</v>
      </c>
      <c r="AF13">
        <f t="shared" si="9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3">
        <f t="shared" si="12"/>
        <v>2659.58</v>
      </c>
      <c r="AK13" s="3">
        <f t="shared" si="12"/>
        <v>-1241.8699999999999</v>
      </c>
    </row>
    <row r="14" spans="1:37" x14ac:dyDescent="0.25">
      <c r="G14">
        <v>12</v>
      </c>
      <c r="H14" t="s">
        <v>75</v>
      </c>
      <c r="I14" s="3">
        <f>SUMIFS(Data[[Revenue]:[Revenue]],Data[[Region]:[Region]],Region,Data[[Month]:[Month]],'Data Prep'!$G14,Data[[Year]:[Year]],'Data Prep'!I$2)</f>
        <v>61614.720000000001</v>
      </c>
      <c r="J14" s="3" t="e">
        <f>IF(G14&gt;CurMonth,NA(),SUMIFS(Data[[Revenue]:[Revenue]],Data[[Region]:[Region]],Region,Data[[Month]:[Month]],'Data Prep'!$G14,Data[[Year]:[Year]],'Data Prep'!J$2))</f>
        <v>#N/A</v>
      </c>
      <c r="K14" s="3" t="e">
        <f t="shared" si="0"/>
        <v>#N/A</v>
      </c>
      <c r="AA14" t="s">
        <v>15</v>
      </c>
      <c r="AB14" s="3">
        <f>SUMIFS(Data[Revenue],Data[Region],Region,Data[Month],CurMonth,Data[Year],CurYear,Data[Product Name],'Data Prep'!AA14)</f>
        <v>4918.7700000000004</v>
      </c>
      <c r="AC14" s="3">
        <f>SUMIFS(Data[Revenue],Data[Region],Region,Data[Month],PrevMonth,Data[Year],PMYear,Data[Product Name],'Data Prep'!AA14)</f>
        <v>4518.87</v>
      </c>
      <c r="AD14" s="2">
        <f t="shared" si="7"/>
        <v>399.90000000000055</v>
      </c>
      <c r="AE14">
        <f t="shared" si="8"/>
        <v>7</v>
      </c>
      <c r="AF14">
        <f t="shared" si="9"/>
        <v>28</v>
      </c>
      <c r="AH14">
        <v>3</v>
      </c>
      <c r="AI14" t="str">
        <f t="shared" si="13"/>
        <v>Animal Figures</v>
      </c>
      <c r="AJ14" s="3">
        <f t="shared" si="12"/>
        <v>1675.71</v>
      </c>
      <c r="AK14" s="3">
        <f t="shared" si="12"/>
        <v>-1130.1300000000001</v>
      </c>
    </row>
    <row r="15" spans="1:37" x14ac:dyDescent="0.25">
      <c r="A15" s="24" t="s">
        <v>90</v>
      </c>
      <c r="B15" s="7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7"/>
        <v>0</v>
      </c>
      <c r="AE15">
        <f t="shared" si="8"/>
        <v>18</v>
      </c>
      <c r="AF15">
        <f t="shared" si="9"/>
        <v>17</v>
      </c>
      <c r="AH15">
        <v>4</v>
      </c>
      <c r="AI15" t="str">
        <f t="shared" si="13"/>
        <v>Dart Gun</v>
      </c>
      <c r="AJ15" s="3">
        <f t="shared" si="12"/>
        <v>575.64</v>
      </c>
      <c r="AK15" s="3">
        <f t="shared" si="12"/>
        <v>-687.57</v>
      </c>
    </row>
    <row r="16" spans="1:37" x14ac:dyDescent="0.25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Name],'Data Prep'!AA16)</f>
        <v>179.91</v>
      </c>
      <c r="AC16" s="3">
        <f>SUMIFS(Data[Revenue],Data[Region],Region,Data[Month],PrevMonth,Data[Year],PMYear,Data[Product Name],'Data Prep'!AA16)</f>
        <v>359.82</v>
      </c>
      <c r="AD16" s="2">
        <f t="shared" si="7"/>
        <v>-179.91</v>
      </c>
      <c r="AE16">
        <f t="shared" si="8"/>
        <v>25</v>
      </c>
      <c r="AF16">
        <f t="shared" si="9"/>
        <v>10</v>
      </c>
      <c r="AH16">
        <v>5</v>
      </c>
      <c r="AI16" t="str">
        <f t="shared" si="13"/>
        <v>Nerf Gun</v>
      </c>
      <c r="AJ16" s="3">
        <f t="shared" si="12"/>
        <v>2018.9899999999998</v>
      </c>
      <c r="AK16" s="3">
        <f t="shared" si="12"/>
        <v>-479.75999999999976</v>
      </c>
    </row>
    <row r="17" spans="1:37" x14ac:dyDescent="0.25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Name],'Data Prep'!AA17)</f>
        <v>741.5200000000001</v>
      </c>
      <c r="AC17" s="3">
        <f>SUMIFS(Data[Revenue],Data[Region],Region,Data[Month],PrevMonth,Data[Year],PMYear,Data[Product Name],'Data Prep'!AA17)</f>
        <v>986.7</v>
      </c>
      <c r="AD17" s="2">
        <f t="shared" si="7"/>
        <v>-245.17999999999995</v>
      </c>
      <c r="AE17">
        <f t="shared" si="8"/>
        <v>26</v>
      </c>
      <c r="AF17">
        <f t="shared" si="9"/>
        <v>9</v>
      </c>
      <c r="AH17">
        <v>6</v>
      </c>
      <c r="AI17" t="str">
        <f t="shared" si="13"/>
        <v>Plush Pony</v>
      </c>
      <c r="AJ17" s="3">
        <f t="shared" si="12"/>
        <v>379.80999999999995</v>
      </c>
      <c r="AK17" s="3">
        <f t="shared" si="12"/>
        <v>-419.78999999999996</v>
      </c>
    </row>
    <row r="18" spans="1:37" x14ac:dyDescent="0.25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Name],'Data Prep'!AA18)</f>
        <v>469.06</v>
      </c>
      <c r="AC18" s="3">
        <f>SUMIFS(Data[Revenue],Data[Region],Region,Data[Month],PrevMonth,Data[Year],PMYear,Data[Product Name],'Data Prep'!AA18)</f>
        <v>29.940000000000005</v>
      </c>
      <c r="AD18" s="2">
        <f t="shared" si="7"/>
        <v>439.12</v>
      </c>
      <c r="AE18">
        <f t="shared" si="8"/>
        <v>6</v>
      </c>
      <c r="AF18">
        <f t="shared" si="9"/>
        <v>29</v>
      </c>
    </row>
    <row r="19" spans="1:37" x14ac:dyDescent="0.25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Name],'Data Prep'!AA19)</f>
        <v>1479.2599999999998</v>
      </c>
      <c r="AC19" s="3">
        <f>SUMIFS(Data[Revenue],Data[Region],Region,Data[Month],PrevMonth,Data[Year],PMYear,Data[Product Name],'Data Prep'!AA19)</f>
        <v>4077.9599999999996</v>
      </c>
      <c r="AD19" s="2">
        <f t="shared" si="7"/>
        <v>-2598.6999999999998</v>
      </c>
      <c r="AE19">
        <f t="shared" si="8"/>
        <v>34</v>
      </c>
      <c r="AF19">
        <f t="shared" si="9"/>
        <v>1</v>
      </c>
    </row>
    <row r="20" spans="1:37" x14ac:dyDescent="0.25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Name],'Data Prep'!AA20)</f>
        <v>836.07</v>
      </c>
      <c r="AC20" s="3">
        <f>SUMIFS(Data[Revenue],Data[Region],Region,Data[Month],PrevMonth,Data[Year],PMYear,Data[Product Name],'Data Prep'!AA20)</f>
        <v>395.56</v>
      </c>
      <c r="AD20" s="2">
        <f t="shared" si="7"/>
        <v>440.51000000000005</v>
      </c>
      <c r="AE20">
        <f t="shared" si="8"/>
        <v>5</v>
      </c>
      <c r="AF20">
        <f t="shared" si="9"/>
        <v>30</v>
      </c>
    </row>
    <row r="21" spans="1:37" x14ac:dyDescent="0.25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Name],'Data Prep'!AA21)</f>
        <v>194.85</v>
      </c>
      <c r="AC21" s="3">
        <f>SUMIFS(Data[Revenue],Data[Region],Region,Data[Month],PrevMonth,Data[Year],PMYear,Data[Product Name],'Data Prep'!AA21)</f>
        <v>142.88999999999999</v>
      </c>
      <c r="AD21" s="2">
        <f t="shared" si="7"/>
        <v>51.960000000000008</v>
      </c>
      <c r="AE21">
        <f t="shared" si="8"/>
        <v>14</v>
      </c>
      <c r="AF21">
        <f t="shared" si="9"/>
        <v>21</v>
      </c>
    </row>
    <row r="22" spans="1:37" x14ac:dyDescent="0.25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Name],'Data Prep'!AA22)</f>
        <v>1533.4099999999999</v>
      </c>
      <c r="AC22" s="3">
        <f>SUMIFS(Data[Revenue],Data[Region],Region,Data[Month],PrevMonth,Data[Year],PMYear,Data[Product Name],'Data Prep'!AA22)</f>
        <v>0</v>
      </c>
      <c r="AD22" s="2">
        <f t="shared" si="7"/>
        <v>1533.4099999999999</v>
      </c>
      <c r="AE22">
        <f t="shared" si="8"/>
        <v>2</v>
      </c>
      <c r="AF22">
        <f t="shared" si="9"/>
        <v>33</v>
      </c>
    </row>
    <row r="23" spans="1:37" x14ac:dyDescent="0.25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Name],'Data Prep'!AA23)</f>
        <v>2018.9899999999998</v>
      </c>
      <c r="AC23" s="3">
        <f>SUMIFS(Data[Revenue],Data[Region],Region,Data[Month],PrevMonth,Data[Year],PMYear,Data[Product Name],'Data Prep'!AA23)</f>
        <v>2498.7499999999995</v>
      </c>
      <c r="AD23" s="2">
        <f t="shared" si="7"/>
        <v>-479.75999999999976</v>
      </c>
      <c r="AE23">
        <f t="shared" si="8"/>
        <v>30</v>
      </c>
      <c r="AF23">
        <f t="shared" si="9"/>
        <v>5</v>
      </c>
    </row>
    <row r="24" spans="1:37" x14ac:dyDescent="0.25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7"/>
        <v>0</v>
      </c>
      <c r="AE24">
        <f t="shared" si="8"/>
        <v>18</v>
      </c>
      <c r="AF24">
        <f t="shared" si="9"/>
        <v>17</v>
      </c>
    </row>
    <row r="25" spans="1:37" x14ac:dyDescent="0.25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Name],'Data Prep'!AA25)</f>
        <v>0</v>
      </c>
      <c r="AC25" s="3">
        <f>SUMIFS(Data[Revenue],Data[Region],Region,Data[Month],PrevMonth,Data[Year],PMYear,Data[Product Name],'Data Prep'!AA25)</f>
        <v>0</v>
      </c>
      <c r="AD25" s="2">
        <f t="shared" si="7"/>
        <v>0</v>
      </c>
      <c r="AE25">
        <f t="shared" si="8"/>
        <v>18</v>
      </c>
      <c r="AF25">
        <f t="shared" si="9"/>
        <v>17</v>
      </c>
    </row>
    <row r="26" spans="1:37" x14ac:dyDescent="0.25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Name],'Data Prep'!AA26)</f>
        <v>1049.3700000000001</v>
      </c>
      <c r="AC26" s="3">
        <f>SUMIFS(Data[Revenue],Data[Region],Region,Data[Month],PrevMonth,Data[Year],PMYear,Data[Product Name],'Data Prep'!AA26)</f>
        <v>957.6</v>
      </c>
      <c r="AD26" s="2">
        <f t="shared" si="7"/>
        <v>91.770000000000095</v>
      </c>
      <c r="AE26">
        <f t="shared" si="8"/>
        <v>12</v>
      </c>
      <c r="AF26">
        <f t="shared" si="9"/>
        <v>23</v>
      </c>
    </row>
    <row r="27" spans="1:37" x14ac:dyDescent="0.25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7"/>
        <v>0</v>
      </c>
      <c r="AE27">
        <f t="shared" si="8"/>
        <v>18</v>
      </c>
      <c r="AF27">
        <f t="shared" si="9"/>
        <v>17</v>
      </c>
    </row>
    <row r="28" spans="1:37" x14ac:dyDescent="0.25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7"/>
        <v>0</v>
      </c>
      <c r="AE28">
        <f t="shared" si="8"/>
        <v>18</v>
      </c>
      <c r="AF28">
        <f t="shared" si="9"/>
        <v>17</v>
      </c>
    </row>
    <row r="29" spans="1:37" x14ac:dyDescent="0.25">
      <c r="AA29" t="s">
        <v>37</v>
      </c>
      <c r="AB29" s="3">
        <f>SUMIFS(Data[Revenue],Data[Region],Region,Data[Month],CurMonth,Data[Year],CurYear,Data[Product Name],'Data Prep'!AA29)</f>
        <v>174.92999999999998</v>
      </c>
      <c r="AC29" s="3">
        <f>SUMIFS(Data[Revenue],Data[Region],Region,Data[Month],PrevMonth,Data[Year],PMYear,Data[Product Name],'Data Prep'!AA29)</f>
        <v>574.77</v>
      </c>
      <c r="AD29" s="2">
        <f t="shared" si="7"/>
        <v>-399.84000000000003</v>
      </c>
      <c r="AE29">
        <f t="shared" si="8"/>
        <v>28</v>
      </c>
      <c r="AF29">
        <f t="shared" si="9"/>
        <v>7</v>
      </c>
    </row>
    <row r="30" spans="1:37" x14ac:dyDescent="0.25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179.82</v>
      </c>
      <c r="AD30" s="2">
        <f t="shared" si="7"/>
        <v>-179.82</v>
      </c>
      <c r="AE30">
        <f t="shared" si="8"/>
        <v>23.5</v>
      </c>
      <c r="AF30">
        <f t="shared" si="9"/>
        <v>11.5</v>
      </c>
    </row>
    <row r="31" spans="1:37" x14ac:dyDescent="0.25">
      <c r="AA31" t="s">
        <v>39</v>
      </c>
      <c r="AB31" s="3">
        <f>SUMIFS(Data[Revenue],Data[Region],Region,Data[Month],CurMonth,Data[Year],CurYear,Data[Product Name],'Data Prep'!AA31)</f>
        <v>379.80999999999995</v>
      </c>
      <c r="AC31" s="3">
        <f>SUMIFS(Data[Revenue],Data[Region],Region,Data[Month],PrevMonth,Data[Year],PMYear,Data[Product Name],'Data Prep'!AA31)</f>
        <v>799.59999999999991</v>
      </c>
      <c r="AD31" s="2">
        <f t="shared" si="7"/>
        <v>-419.78999999999996</v>
      </c>
      <c r="AE31">
        <f t="shared" si="8"/>
        <v>29</v>
      </c>
      <c r="AF31">
        <f t="shared" si="9"/>
        <v>6</v>
      </c>
    </row>
    <row r="32" spans="1:37" x14ac:dyDescent="0.25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7"/>
        <v>0</v>
      </c>
      <c r="AE32">
        <f t="shared" si="8"/>
        <v>18</v>
      </c>
      <c r="AF32">
        <f t="shared" si="9"/>
        <v>17</v>
      </c>
    </row>
    <row r="33" spans="27:32" x14ac:dyDescent="0.25">
      <c r="AA33" t="s">
        <v>42</v>
      </c>
      <c r="AB33" s="3">
        <f>SUMIFS(Data[Revenue],Data[Region],Region,Data[Month],CurMonth,Data[Year],CurYear,Data[Product Name],'Data Prep'!AA33)</f>
        <v>6523.92</v>
      </c>
      <c r="AC33" s="3">
        <f>SUMIFS(Data[Revenue],Data[Region],Region,Data[Month],PrevMonth,Data[Year],PMYear,Data[Product Name],'Data Prep'!AA33)</f>
        <v>3229.9799999999996</v>
      </c>
      <c r="AD33" s="2">
        <f t="shared" si="7"/>
        <v>3293.9400000000005</v>
      </c>
      <c r="AE33">
        <f t="shared" si="8"/>
        <v>1</v>
      </c>
      <c r="AF33">
        <f t="shared" si="9"/>
        <v>34</v>
      </c>
    </row>
    <row r="34" spans="27:32" x14ac:dyDescent="0.25">
      <c r="AA34" t="s">
        <v>41</v>
      </c>
      <c r="AB34" s="3">
        <f>SUMIFS(Data[Revenue],Data[Region],Region,Data[Month],CurMonth,Data[Year],CurYear,Data[Product Name],'Data Prep'!AA34)</f>
        <v>259.74</v>
      </c>
      <c r="AC34" s="3">
        <f>SUMIFS(Data[Revenue],Data[Region],Region,Data[Month],PrevMonth,Data[Year],PMYear,Data[Product Name],'Data Prep'!AA34)</f>
        <v>439.56</v>
      </c>
      <c r="AD34" s="2">
        <f t="shared" si="7"/>
        <v>-179.82</v>
      </c>
      <c r="AE34">
        <f t="shared" si="8"/>
        <v>23.5</v>
      </c>
      <c r="AF34">
        <f t="shared" si="9"/>
        <v>11.5</v>
      </c>
    </row>
    <row r="35" spans="27:32" x14ac:dyDescent="0.25">
      <c r="AA35" t="s">
        <v>43</v>
      </c>
      <c r="AB35" s="3">
        <f>SUMIFS(Data[Revenue],Data[Region],Region,Data[Month],CurMonth,Data[Year],CurYear,Data[Product Name],'Data Prep'!AA35)</f>
        <v>503.76</v>
      </c>
      <c r="AC35" s="3">
        <f>SUMIFS(Data[Revenue],Data[Region],Region,Data[Month],PrevMonth,Data[Year],PMYear,Data[Product Name],'Data Prep'!AA35)</f>
        <v>902.56999999999994</v>
      </c>
      <c r="AD35" s="2">
        <f t="shared" si="7"/>
        <v>-398.80999999999995</v>
      </c>
      <c r="AE35">
        <f t="shared" si="8"/>
        <v>27</v>
      </c>
      <c r="AF35">
        <f t="shared" si="9"/>
        <v>8</v>
      </c>
    </row>
    <row r="36" spans="27:32" x14ac:dyDescent="0.25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7"/>
        <v>0</v>
      </c>
      <c r="AE36">
        <f t="shared" si="8"/>
        <v>18</v>
      </c>
      <c r="AF36">
        <f t="shared" si="9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4:R38"/>
  <sheetViews>
    <sheetView showGridLines="0" tabSelected="1" zoomScaleNormal="100" workbookViewId="0">
      <selection activeCell="C6" sqref="C6"/>
    </sheetView>
  </sheetViews>
  <sheetFormatPr defaultRowHeight="15" x14ac:dyDescent="0.25"/>
  <cols>
    <col min="1" max="1" width="4.140625" customWidth="1"/>
    <col min="2" max="2" width="16.85546875" bestFit="1" customWidth="1"/>
    <col min="3" max="3" width="25.140625" customWidth="1"/>
    <col min="4" max="4" width="20.85546875" bestFit="1" customWidth="1"/>
    <col min="12" max="12" width="4.28515625" customWidth="1"/>
    <col min="13" max="13" width="3.7109375" customWidth="1"/>
    <col min="14" max="14" width="6.5703125" customWidth="1"/>
    <col min="15" max="15" width="5.5703125" customWidth="1"/>
    <col min="16" max="16" width="20.140625" customWidth="1"/>
    <col min="17" max="17" width="13.5703125" customWidth="1"/>
    <col min="18" max="18" width="18.28515625" customWidth="1"/>
  </cols>
  <sheetData>
    <row r="4" spans="2:18" ht="13.15" customHeight="1" x14ac:dyDescent="0.25"/>
    <row r="5" spans="2:18" ht="9" customHeight="1" x14ac:dyDescent="0.25"/>
    <row r="6" spans="2:18" ht="31.5" x14ac:dyDescent="0.5">
      <c r="B6" s="23" t="s">
        <v>112</v>
      </c>
      <c r="C6" s="26" t="s">
        <v>4</v>
      </c>
      <c r="D6" s="23" t="s">
        <v>126</v>
      </c>
      <c r="E6" s="25" t="str">
        <f>'Data Prep'!B13&amp;"?"</f>
        <v>September 2021?</v>
      </c>
    </row>
    <row r="13" spans="2:18" ht="9.6" customHeight="1" x14ac:dyDescent="0.25"/>
    <row r="14" spans="2:18" ht="18.600000000000001" customHeight="1" x14ac:dyDescent="0.25">
      <c r="P14" s="18" t="s">
        <v>105</v>
      </c>
      <c r="Q14" s="19" t="s">
        <v>46</v>
      </c>
      <c r="R14" s="19" t="s">
        <v>111</v>
      </c>
    </row>
    <row r="15" spans="2:18" ht="18.600000000000001" customHeight="1" x14ac:dyDescent="0.25">
      <c r="P15" s="16" t="str">
        <f>'Data Prep'!AI3</f>
        <v>Magic Sand</v>
      </c>
      <c r="Q15" s="17">
        <f>'Data Prep'!AJ3</f>
        <v>6523.92</v>
      </c>
      <c r="R15" s="17">
        <f>'Data Prep'!AK3</f>
        <v>3293.9400000000005</v>
      </c>
    </row>
    <row r="16" spans="2:18" ht="18.600000000000001" customHeight="1" x14ac:dyDescent="0.25">
      <c r="P16" s="16" t="str">
        <f>'Data Prep'!AI4</f>
        <v>Toy Robot</v>
      </c>
      <c r="Q16" s="17">
        <f>'Data Prep'!AJ4</f>
        <v>1533.4099999999999</v>
      </c>
      <c r="R16" s="17">
        <f>'Data Prep'!AK4</f>
        <v>1533.4099999999999</v>
      </c>
    </row>
    <row r="17" spans="2:18" ht="18.600000000000001" customHeight="1" x14ac:dyDescent="0.25">
      <c r="P17" s="16" t="str">
        <f>'Data Prep'!AI5</f>
        <v>Glass Marbles</v>
      </c>
      <c r="Q17" s="17">
        <f>'Data Prep'!AJ5</f>
        <v>1329.79</v>
      </c>
      <c r="R17" s="17">
        <f>'Data Prep'!AK5</f>
        <v>615.44000000000005</v>
      </c>
    </row>
    <row r="18" spans="2:18" ht="18.600000000000001" customHeight="1" x14ac:dyDescent="0.25">
      <c r="P18" s="16" t="str">
        <f>'Data Prep'!AI6</f>
        <v>Action Figure</v>
      </c>
      <c r="Q18" s="17">
        <f>'Data Prep'!AJ6</f>
        <v>1662.96</v>
      </c>
      <c r="R18" s="17">
        <f>'Data Prep'!AK6</f>
        <v>575.63999999999987</v>
      </c>
    </row>
    <row r="19" spans="2:18" ht="18.600000000000001" customHeight="1" x14ac:dyDescent="0.25">
      <c r="B19" s="27" t="str">
        <f>IF('Data Prep'!E6&gt;0,"  ↑","  ↓")</f>
        <v xml:space="preserve">  ↑</v>
      </c>
      <c r="C19" s="28" t="str">
        <f>IF('Data Prep'!E5&gt;0,"↑  ","↓  ")</f>
        <v xml:space="preserve">↑  </v>
      </c>
      <c r="P19" s="16" t="str">
        <f>'Data Prep'!AI7</f>
        <v>Splash Balls</v>
      </c>
      <c r="Q19" s="17">
        <f>'Data Prep'!AJ7</f>
        <v>836.07</v>
      </c>
      <c r="R19" s="17">
        <f>'Data Prep'!AK7</f>
        <v>440.51000000000005</v>
      </c>
    </row>
    <row r="20" spans="2:18" ht="18.600000000000001" customHeight="1" x14ac:dyDescent="0.25">
      <c r="B20" s="27"/>
      <c r="C20" s="28"/>
      <c r="P20" s="16" t="str">
        <f>'Data Prep'!AI8</f>
        <v>PlayDoh Toolkit</v>
      </c>
      <c r="Q20" s="17">
        <f>'Data Prep'!AJ8</f>
        <v>469.06</v>
      </c>
      <c r="R20" s="20">
        <f>'Data Prep'!AK8</f>
        <v>439.12</v>
      </c>
    </row>
    <row r="21" spans="2:18" ht="18.600000000000001" customHeight="1" x14ac:dyDescent="0.25">
      <c r="P21" s="16"/>
      <c r="Q21" s="16"/>
      <c r="R21" s="21">
        <f>SUM(R15:R20)</f>
        <v>6898.06</v>
      </c>
    </row>
    <row r="22" spans="2:18" ht="18.600000000000001" customHeight="1" x14ac:dyDescent="0.25">
      <c r="P22" s="16"/>
      <c r="Q22" s="16"/>
      <c r="R22" s="16"/>
    </row>
    <row r="23" spans="2:18" ht="18.600000000000001" customHeight="1" x14ac:dyDescent="0.25">
      <c r="P23" s="16"/>
      <c r="Q23" s="16"/>
      <c r="R23" s="16"/>
    </row>
    <row r="24" spans="2:18" ht="18.600000000000001" customHeight="1" x14ac:dyDescent="0.25">
      <c r="P24" s="16"/>
      <c r="Q24" s="16"/>
      <c r="R24" s="16"/>
    </row>
    <row r="25" spans="2:18" ht="11.45" customHeight="1" x14ac:dyDescent="0.25">
      <c r="P25" s="16"/>
      <c r="Q25" s="16"/>
      <c r="R25" s="16"/>
    </row>
    <row r="26" spans="2:18" ht="18.600000000000001" customHeight="1" x14ac:dyDescent="0.25">
      <c r="P26" s="18" t="s">
        <v>105</v>
      </c>
      <c r="Q26" s="19" t="s">
        <v>46</v>
      </c>
      <c r="R26" s="19" t="s">
        <v>111</v>
      </c>
    </row>
    <row r="27" spans="2:18" ht="18.600000000000001" customHeight="1" x14ac:dyDescent="0.25">
      <c r="P27" s="16" t="str">
        <f>'Data Prep'!AI12</f>
        <v>Rubik's Cube</v>
      </c>
      <c r="Q27" s="17">
        <f>'Data Prep'!AJ12</f>
        <v>1479.2599999999998</v>
      </c>
      <c r="R27" s="17">
        <f>'Data Prep'!AK12</f>
        <v>-2598.6999999999998</v>
      </c>
    </row>
    <row r="28" spans="2:18" ht="18.600000000000001" customHeight="1" x14ac:dyDescent="0.25">
      <c r="P28" s="16" t="str">
        <f>'Data Prep'!AI13</f>
        <v>Dino Egg</v>
      </c>
      <c r="Q28" s="17">
        <f>'Data Prep'!AJ13</f>
        <v>2659.58</v>
      </c>
      <c r="R28" s="17">
        <f>'Data Prep'!AK13</f>
        <v>-1241.8699999999999</v>
      </c>
    </row>
    <row r="29" spans="2:18" ht="18.600000000000001" customHeight="1" x14ac:dyDescent="0.25">
      <c r="P29" s="16" t="str">
        <f>'Data Prep'!AI14</f>
        <v>Animal Figures</v>
      </c>
      <c r="Q29" s="17">
        <f>'Data Prep'!AJ14</f>
        <v>1675.71</v>
      </c>
      <c r="R29" s="17">
        <f>'Data Prep'!AK14</f>
        <v>-1130.1300000000001</v>
      </c>
    </row>
    <row r="30" spans="2:18" ht="18.600000000000001" customHeight="1" x14ac:dyDescent="0.25">
      <c r="P30" s="16" t="str">
        <f>'Data Prep'!AI15</f>
        <v>Dart Gun</v>
      </c>
      <c r="Q30" s="17">
        <f>'Data Prep'!AJ15</f>
        <v>575.64</v>
      </c>
      <c r="R30" s="17">
        <f>'Data Prep'!AK15</f>
        <v>-687.57</v>
      </c>
    </row>
    <row r="31" spans="2:18" ht="18.600000000000001" customHeight="1" x14ac:dyDescent="0.25">
      <c r="P31" s="16" t="str">
        <f>'Data Prep'!AI16</f>
        <v>Nerf Gun</v>
      </c>
      <c r="Q31" s="17">
        <f>'Data Prep'!AJ16</f>
        <v>2018.9899999999998</v>
      </c>
      <c r="R31" s="17">
        <f>'Data Prep'!AK16</f>
        <v>-479.75999999999976</v>
      </c>
    </row>
    <row r="32" spans="2:18" ht="18.600000000000001" customHeight="1" x14ac:dyDescent="0.25">
      <c r="P32" s="16" t="str">
        <f>'Data Prep'!AI17</f>
        <v>Plush Pony</v>
      </c>
      <c r="Q32" s="17">
        <f>'Data Prep'!AJ17</f>
        <v>379.80999999999995</v>
      </c>
      <c r="R32" s="20">
        <f>'Data Prep'!AK17</f>
        <v>-419.78999999999996</v>
      </c>
    </row>
    <row r="33" spans="16:18" ht="18.600000000000001" customHeight="1" x14ac:dyDescent="0.25">
      <c r="P33" s="16"/>
      <c r="Q33" s="16"/>
      <c r="R33" s="22">
        <f>SUM(R27:R32)</f>
        <v>-6557.8199999999988</v>
      </c>
    </row>
    <row r="34" spans="16:18" ht="18.600000000000001" customHeight="1" x14ac:dyDescent="0.25">
      <c r="P34" s="16"/>
      <c r="Q34" s="16"/>
      <c r="R34" s="16"/>
    </row>
    <row r="35" spans="16:18" ht="18.600000000000001" customHeight="1" x14ac:dyDescent="0.25">
      <c r="P35" s="16"/>
      <c r="Q35" s="16"/>
      <c r="R35" s="16"/>
    </row>
    <row r="36" spans="16:18" ht="18.600000000000001" customHeight="1" x14ac:dyDescent="0.25">
      <c r="P36" s="16"/>
      <c r="Q36" s="16"/>
      <c r="R36" s="16"/>
    </row>
    <row r="37" spans="16:18" ht="18.600000000000001" customHeight="1" x14ac:dyDescent="0.25">
      <c r="P37" s="16"/>
      <c r="Q37" s="16"/>
      <c r="R37" s="16"/>
    </row>
    <row r="38" spans="16:18" ht="15.75" x14ac:dyDescent="0.25">
      <c r="P38" s="16"/>
      <c r="Q38" s="16"/>
      <c r="R38" s="16"/>
    </row>
  </sheetData>
  <sheetProtection selectLockedCells="1"/>
  <mergeCells count="2">
    <mergeCell ref="B19:B20"/>
    <mergeCell ref="C19:C20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DC10DCC-D1A1-408F-B30C-E15406E1AEAD}">
            <xm:f>'Data Prep'!$E$6&lt;0</xm:f>
            <x14:dxf>
              <font>
                <color rgb="FFC00000"/>
              </font>
            </x14:dxf>
          </x14:cfRule>
          <x14:cfRule type="expression" priority="4" id="{E79506F4-0916-4217-B74A-30D1A18DF0CA}">
            <xm:f>'Data Prep'!$E$6&gt;0</xm:f>
            <x14:dxf>
              <font>
                <color theme="9" tint="-0.24994659260841701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1" id="{C4707C83-7367-46C6-8CA1-221B20162411}">
            <xm:f>'Data Prep'!$E$5&lt;0</xm:f>
            <x14:dxf>
              <font>
                <color rgb="FFC00000"/>
              </font>
            </x14:dxf>
          </x14:cfRule>
          <x14:cfRule type="expression" priority="2" id="{31DDFBFC-64BB-4BF9-8F74-F99CC0219A2A}">
            <xm:f>'Data Prep'!$E$5&gt;0</xm:f>
            <x14:dxf>
              <font>
                <color theme="9" tint="-0.24994659260841701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5" workbookViewId="0"/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Gedlegeorgis Geda</cp:lastModifiedBy>
  <dcterms:created xsi:type="dcterms:W3CDTF">2021-07-16T18:17:37Z</dcterms:created>
  <dcterms:modified xsi:type="dcterms:W3CDTF">2024-10-03T15:26:31Z</dcterms:modified>
</cp:coreProperties>
</file>