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1" sheetId="1" r:id="rId4"/>
    <sheet state="visible" name="Product 1 - Browns Double Expon" sheetId="2" r:id="rId5"/>
    <sheet state="visible" name="Product 2" sheetId="3" r:id="rId6"/>
    <sheet state="visible" name="Product 2 -  Browns Double Expo" sheetId="4" r:id="rId7"/>
    <sheet state="visible" name="Product 3" sheetId="5" r:id="rId8"/>
    <sheet state="visible" name="Product 3 - Browns Double Expon" sheetId="6" r:id="rId9"/>
    <sheet state="visible" name="Product 4" sheetId="7" r:id="rId10"/>
    <sheet state="visible" name=" Product 4 - Browns Double Expo" sheetId="8" r:id="rId11"/>
    <sheet state="visible" name="Product 5" sheetId="9" r:id="rId12"/>
    <sheet state="visible" name="Product 5 - Browns Double Expon" sheetId="10" r:id="rId13"/>
    <sheet state="visible" name="Aggregate Planning" sheetId="11" r:id="rId14"/>
    <sheet state="visible" name="MRP" sheetId="12" r:id="rId15"/>
    <sheet state="visible" name="MPS" sheetId="13" r:id="rId16"/>
    <sheet state="visible" name="Capacity Planning" sheetId="14" r:id="rId17"/>
  </sheets>
  <externalReferences>
    <externalReference r:id="rId18"/>
  </externalReferences>
  <definedNames>
    <definedName name="DEMAND">'[1]Product 3'!$D$5:$D$24</definedName>
    <definedName name="_xlchart.v1.2">'Product 5'!$A$6:$A$25</definedName>
    <definedName name="_xlchart.v2.1">'Product 5'!$B$6:$B$25</definedName>
    <definedName name="_xlchart.v2.0">'Product 5'!$A$6:$A$25</definedName>
    <definedName name="_xlchart.v1.3">'Product 5'!$B$6:$B$25</definedName>
  </definedNames>
  <calcPr/>
  <extLst>
    <ext uri="GoogleSheetsCustomDataVersion2">
      <go:sheetsCustomData xmlns:go="http://customooxmlschemas.google.com/" r:id="rId19" roundtripDataChecksum="eSVZ23td4zsCgRKv3fvOn/dj6dxtTsbDVryMX1F/KLk="/>
    </ext>
  </extLst>
</workbook>
</file>

<file path=xl/sharedStrings.xml><?xml version="1.0" encoding="utf-8"?>
<sst xmlns="http://schemas.openxmlformats.org/spreadsheetml/2006/main" count="892" uniqueCount="240">
  <si>
    <t xml:space="preserve">FORECASTING - Product 1 </t>
  </si>
  <si>
    <t>Product 1</t>
  </si>
  <si>
    <t>Naïve</t>
  </si>
  <si>
    <t>|A-F|</t>
  </si>
  <si>
    <t>2-mo MA</t>
  </si>
  <si>
    <t>3-mo MA</t>
  </si>
  <si>
    <t>4-mo MA</t>
  </si>
  <si>
    <t>5-mo MA</t>
  </si>
  <si>
    <t>MAD</t>
  </si>
  <si>
    <t>Tolerance</t>
  </si>
  <si>
    <t>Tolerance MAD</t>
  </si>
  <si>
    <t>Exponential</t>
  </si>
  <si>
    <t>Exponential a=</t>
  </si>
  <si>
    <t>a</t>
  </si>
  <si>
    <t>Week</t>
  </si>
  <si>
    <t>Season-1</t>
  </si>
  <si>
    <t>Season-2</t>
  </si>
  <si>
    <t>Season-3</t>
  </si>
  <si>
    <t>Week21</t>
  </si>
  <si>
    <t>Week22</t>
  </si>
  <si>
    <t>Week23</t>
  </si>
  <si>
    <t>Week24</t>
  </si>
  <si>
    <t>Week25</t>
  </si>
  <si>
    <t>Total</t>
  </si>
  <si>
    <t>Assumed</t>
  </si>
  <si>
    <t>Average</t>
  </si>
  <si>
    <t>Seasonal Index</t>
  </si>
  <si>
    <t>Normalize</t>
  </si>
  <si>
    <t>Season-3 Forecast</t>
  </si>
  <si>
    <t>Period</t>
  </si>
  <si>
    <t>Actual Demand</t>
  </si>
  <si>
    <t>Forecast</t>
  </si>
  <si>
    <t>Error</t>
  </si>
  <si>
    <t>t</t>
  </si>
  <si>
    <t xml:space="preserve">Brown's Double Exponential smoothing - Product 1 </t>
  </si>
  <si>
    <t xml:space="preserve">ALPHA </t>
  </si>
  <si>
    <t>HISTORY HORIZON</t>
  </si>
  <si>
    <t>At</t>
  </si>
  <si>
    <t>A"t</t>
  </si>
  <si>
    <t>at</t>
  </si>
  <si>
    <t>bt</t>
  </si>
  <si>
    <t>FORECASTING - Product 2</t>
  </si>
  <si>
    <t>Product 2</t>
  </si>
  <si>
    <t xml:space="preserve">Brown's Double Exponential smoothing - Product 2 </t>
  </si>
  <si>
    <t xml:space="preserve">Alpha </t>
  </si>
  <si>
    <t>History Horizon</t>
  </si>
  <si>
    <t xml:space="preserve">Product 2 </t>
  </si>
  <si>
    <t>Product 3</t>
  </si>
  <si>
    <t>Exppnential</t>
  </si>
  <si>
    <t xml:space="preserve"> </t>
  </si>
  <si>
    <t>Seasonality Index</t>
  </si>
  <si>
    <t>Week 1</t>
  </si>
  <si>
    <t>Intercept</t>
  </si>
  <si>
    <t>Week 2</t>
  </si>
  <si>
    <t>Slope</t>
  </si>
  <si>
    <t>Week 3</t>
  </si>
  <si>
    <t>Week 4</t>
  </si>
  <si>
    <t>Seasons</t>
  </si>
  <si>
    <t>Linear Trend Forecast</t>
  </si>
  <si>
    <t>Seasonal Forecast with Trend</t>
  </si>
  <si>
    <t>Season 1</t>
  </si>
  <si>
    <t>Season 2</t>
  </si>
  <si>
    <t>Season 3</t>
  </si>
  <si>
    <t>Season 4</t>
  </si>
  <si>
    <t>Season 5</t>
  </si>
  <si>
    <t>Season 6</t>
  </si>
  <si>
    <t>Brown's Double Exponential smoothing - Product 3</t>
  </si>
  <si>
    <t>Alpha</t>
  </si>
  <si>
    <t xml:space="preserve">Forecast </t>
  </si>
  <si>
    <t>Product 4</t>
  </si>
  <si>
    <t>Base :-</t>
  </si>
  <si>
    <t xml:space="preserve">F(t) = </t>
  </si>
  <si>
    <t>Trend :-</t>
  </si>
  <si>
    <t xml:space="preserve">T(t) = </t>
  </si>
  <si>
    <t>α =</t>
  </si>
  <si>
    <t>β =</t>
  </si>
  <si>
    <t>F(t)</t>
  </si>
  <si>
    <t>T(t)</t>
  </si>
  <si>
    <t>FTT</t>
  </si>
  <si>
    <t>ERROR</t>
  </si>
  <si>
    <t>MAD=</t>
  </si>
  <si>
    <t>Brown's Double Exponential smoothing - Product 4</t>
  </si>
  <si>
    <t>Brown's Double Exponential Smoothing - Product 5</t>
  </si>
  <si>
    <t>Product 5</t>
  </si>
  <si>
    <t xml:space="preserve">bt </t>
  </si>
  <si>
    <t>AGGREGATE PLANNING</t>
  </si>
  <si>
    <t>Intial workers</t>
  </si>
  <si>
    <t>employees</t>
  </si>
  <si>
    <t>Manufacturing time/day</t>
  </si>
  <si>
    <t>minutes</t>
  </si>
  <si>
    <t>hours</t>
  </si>
  <si>
    <t>Manufacturing days/week</t>
  </si>
  <si>
    <t>days</t>
  </si>
  <si>
    <t>Working weeks/year</t>
  </si>
  <si>
    <t>weeks</t>
  </si>
  <si>
    <t>Regular production worker/day</t>
  </si>
  <si>
    <t>units/employee/week</t>
  </si>
  <si>
    <t>units/employee/ 5 week</t>
  </si>
  <si>
    <t>PRODUCT 1</t>
  </si>
  <si>
    <t>LEVEL STRATEGY</t>
  </si>
  <si>
    <t>CHASE STRATEGY</t>
  </si>
  <si>
    <t>Production Cost($)</t>
  </si>
  <si>
    <t>Beginning Inventory</t>
  </si>
  <si>
    <t>Capacity</t>
  </si>
  <si>
    <t>Production</t>
  </si>
  <si>
    <t>Demand</t>
  </si>
  <si>
    <t>Workers Needed</t>
  </si>
  <si>
    <t>Workers Available</t>
  </si>
  <si>
    <t>Workers Hired</t>
  </si>
  <si>
    <t>Undertime units</t>
  </si>
  <si>
    <t>Workers Fired</t>
  </si>
  <si>
    <t>End Inventory</t>
  </si>
  <si>
    <t>Backlog</t>
  </si>
  <si>
    <t>Average Inventory</t>
  </si>
  <si>
    <t>PRODUCT 2</t>
  </si>
  <si>
    <t>PRODUCT 3</t>
  </si>
  <si>
    <t>PRODUCT 4</t>
  </si>
  <si>
    <t>PRODUCT 5</t>
  </si>
  <si>
    <t>MRP</t>
  </si>
  <si>
    <t>Sub-product 4</t>
  </si>
  <si>
    <t>Past due</t>
  </si>
  <si>
    <t>Gross Requirements</t>
  </si>
  <si>
    <t>Scheduled receipt</t>
  </si>
  <si>
    <t>PAB / 650</t>
  </si>
  <si>
    <t>Net Requirement</t>
  </si>
  <si>
    <t>Planned order receipt</t>
  </si>
  <si>
    <t>planned order release</t>
  </si>
  <si>
    <t>Q= L4L; LT =1; SS =50</t>
  </si>
  <si>
    <t>Sub-product 1</t>
  </si>
  <si>
    <t>Past Due</t>
  </si>
  <si>
    <t>PAB / 450</t>
  </si>
  <si>
    <t>Q= 1000; LT =1; SS =100</t>
  </si>
  <si>
    <t>Sub-product 3</t>
  </si>
  <si>
    <t>PAB / 200</t>
  </si>
  <si>
    <t>Q= Fixed 2 periods; LT =1; SS = 25</t>
  </si>
  <si>
    <t>Q= Fixed 2 periods; LT =1; SS =25</t>
  </si>
  <si>
    <t>Sub-product 2</t>
  </si>
  <si>
    <t>PAB / 150</t>
  </si>
  <si>
    <t>Q= 200; LT =0; SS =0</t>
  </si>
  <si>
    <t xml:space="preserve">Product 5 </t>
  </si>
  <si>
    <t>Master Production Schedule</t>
  </si>
  <si>
    <t>Subproduct 1</t>
  </si>
  <si>
    <t>Q = 1000</t>
  </si>
  <si>
    <t>SS = 100</t>
  </si>
  <si>
    <t>Orders</t>
  </si>
  <si>
    <t>PAB 450</t>
  </si>
  <si>
    <t>ATP</t>
  </si>
  <si>
    <t>MPS</t>
  </si>
  <si>
    <t>Q = 200</t>
  </si>
  <si>
    <t>SS = 0</t>
  </si>
  <si>
    <t>Subproduct 2</t>
  </si>
  <si>
    <t>PAB 150</t>
  </si>
  <si>
    <t>Q = 2 period fixed</t>
  </si>
  <si>
    <t xml:space="preserve">SS = </t>
  </si>
  <si>
    <t>Subproduct 3</t>
  </si>
  <si>
    <t>PAB 200</t>
  </si>
  <si>
    <t>Q = Lot for lot</t>
  </si>
  <si>
    <t>Subproduct 4</t>
  </si>
  <si>
    <t>PAB 650</t>
  </si>
  <si>
    <t>CAPACITY PLANNING</t>
  </si>
  <si>
    <t>BASED ON THE MPS RECORDS OF SUB-PRODUCTS</t>
  </si>
  <si>
    <t>FORECAST</t>
  </si>
  <si>
    <t>Processing time according to routing</t>
  </si>
  <si>
    <t>TOTAL</t>
  </si>
  <si>
    <t>WEEK 21</t>
  </si>
  <si>
    <t>WEEK 22</t>
  </si>
  <si>
    <t>WEEK 23</t>
  </si>
  <si>
    <t>WEEK 24</t>
  </si>
  <si>
    <t>WEEK 25</t>
  </si>
  <si>
    <t>SUB- PRODUCT 1</t>
  </si>
  <si>
    <t>STATION</t>
  </si>
  <si>
    <t xml:space="preserve">SUB-PRODUCT 1 </t>
  </si>
  <si>
    <t>SUB-PRODUCT 2</t>
  </si>
  <si>
    <t>SUB-PRODUCT 3</t>
  </si>
  <si>
    <t>SUB-PRODUCT 4</t>
  </si>
  <si>
    <t>SUB- PRODUCT 2</t>
  </si>
  <si>
    <t>SUB- PRODUCT 3</t>
  </si>
  <si>
    <t>SUB- PRODUCT 4</t>
  </si>
  <si>
    <t>ORDERS</t>
  </si>
  <si>
    <t>WEEK 20</t>
  </si>
  <si>
    <t>LT = 1</t>
  </si>
  <si>
    <t>SETUP TIMES</t>
  </si>
  <si>
    <t>SUB-PRODUCT  1</t>
  </si>
  <si>
    <t xml:space="preserve">TOTAL TIME </t>
  </si>
  <si>
    <t xml:space="preserve">TOTAL TIME FOR 5 WEEK </t>
  </si>
  <si>
    <t>NO OF MACHINES</t>
  </si>
  <si>
    <t xml:space="preserve">DOWN TIME </t>
  </si>
  <si>
    <t xml:space="preserve">TIME BETWEEN FAILURES </t>
  </si>
  <si>
    <t>REPAIR TIME</t>
  </si>
  <si>
    <t>1 CYCLE OF FAILURE AND REPAIR TIME</t>
  </si>
  <si>
    <t>TOTAL CYCLE IN 5 WEEKS</t>
  </si>
  <si>
    <t>DOWNTIME 1 WEEK</t>
  </si>
  <si>
    <t>PROCESSING TIME</t>
  </si>
  <si>
    <t>TOTAL DOWNTIME</t>
  </si>
  <si>
    <t>WC1</t>
  </si>
  <si>
    <t>WC2</t>
  </si>
  <si>
    <t>WC3</t>
  </si>
  <si>
    <t>WC4</t>
  </si>
  <si>
    <t>WC5</t>
  </si>
  <si>
    <t>WC6</t>
  </si>
  <si>
    <t>WC7</t>
  </si>
  <si>
    <t xml:space="preserve">UNDERTIME COST </t>
  </si>
  <si>
    <t>a min</t>
  </si>
  <si>
    <t xml:space="preserve">BUY MACHINE COST </t>
  </si>
  <si>
    <t>Machine</t>
  </si>
  <si>
    <t>CAPACITY BILLS</t>
  </si>
  <si>
    <t>RESALE MACHINE COST</t>
  </si>
  <si>
    <t xml:space="preserve">WORKSTATION 1 </t>
  </si>
  <si>
    <t>WS 1</t>
  </si>
  <si>
    <t xml:space="preserve">TOTAL </t>
  </si>
  <si>
    <t>OVERALL COST</t>
  </si>
  <si>
    <t>WS 2</t>
  </si>
  <si>
    <t>Required no of machines</t>
  </si>
  <si>
    <t>WS 3</t>
  </si>
  <si>
    <t>Available no of machines</t>
  </si>
  <si>
    <t>WS 4</t>
  </si>
  <si>
    <t xml:space="preserve">Machines bought </t>
  </si>
  <si>
    <t>WS 5</t>
  </si>
  <si>
    <t>Machines sold</t>
  </si>
  <si>
    <t>WS 6</t>
  </si>
  <si>
    <t>Available capacity</t>
  </si>
  <si>
    <t>WS 7</t>
  </si>
  <si>
    <t>Capacity needed</t>
  </si>
  <si>
    <t xml:space="preserve">Under time </t>
  </si>
  <si>
    <t>TOTAL COST</t>
  </si>
  <si>
    <t>WORKSTATION 2</t>
  </si>
  <si>
    <t>Machines bought</t>
  </si>
  <si>
    <t>Undertime</t>
  </si>
  <si>
    <t>WORKSTATION 3</t>
  </si>
  <si>
    <t xml:space="preserve">TOTAL COST </t>
  </si>
  <si>
    <t>TOTAL CAPACITY W/O DOWNTIME TO WORK STATION</t>
  </si>
  <si>
    <t>WORKSTATION 4</t>
  </si>
  <si>
    <t>TOTAL ALLOCATION</t>
  </si>
  <si>
    <t>PERCENTAGE OF WS</t>
  </si>
  <si>
    <t xml:space="preserve">WORKSTATION 5 </t>
  </si>
  <si>
    <t xml:space="preserve">OVERALL COST </t>
  </si>
  <si>
    <t xml:space="preserve">Machines sold </t>
  </si>
  <si>
    <t>WORKSTATION 6</t>
  </si>
  <si>
    <t>WORKSTATION 7</t>
  </si>
  <si>
    <t>Dollars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</si>
</sst>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0.000"/>
    <numFmt numFmtId="166" formatCode="&quot;$&quot;#,##0_);[Red]\(&quot;$&quot;#,##0\)"/>
  </numFmts>
  <fonts count="40">
    <font>
      <sz val="12.0"/>
      <color theme="1"/>
      <name val="Calibri"/>
      <scheme val="minor"/>
    </font>
    <font>
      <color theme="1"/>
      <name val="Calibri"/>
      <scheme val="minor"/>
    </font>
    <font>
      <b/>
      <sz val="14.0"/>
      <color rgb="FF222222"/>
      <name val="&quot;Google Sans&quot;"/>
    </font>
    <font>
      <sz val="14.0"/>
      <color theme="1"/>
      <name val="Calibri"/>
      <scheme val="minor"/>
    </font>
    <font>
      <b/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FF0000"/>
      <name val="Calibri"/>
    </font>
    <font/>
    <font>
      <b/>
      <i/>
      <sz val="11.0"/>
      <color theme="1"/>
      <name val="Calibri"/>
    </font>
    <font>
      <b/>
      <sz val="11.0"/>
      <color rgb="FF00B050"/>
      <name val="Calibri"/>
    </font>
    <font>
      <b/>
      <sz val="11.0"/>
      <color theme="1"/>
      <name val="Calibri"/>
      <scheme val="minor"/>
    </font>
    <font>
      <sz val="11.0"/>
      <color theme="1"/>
      <name val="Calibri"/>
      <scheme val="minor"/>
    </font>
    <font>
      <b/>
      <color theme="1"/>
      <name val="Calibri"/>
      <scheme val="minor"/>
    </font>
    <font>
      <b/>
      <color rgb="FF000000"/>
      <name val="Calibri"/>
      <scheme val="minor"/>
    </font>
    <font>
      <sz val="11.0"/>
      <color theme="1"/>
      <name val="Arial"/>
    </font>
    <font>
      <b/>
      <sz val="15.0"/>
      <color rgb="FF1F1F1F"/>
      <name val="Arial"/>
    </font>
    <font>
      <i/>
      <sz val="11.0"/>
      <color theme="1"/>
      <name val="Calibri"/>
    </font>
    <font>
      <b/>
      <sz val="15.0"/>
      <color rgb="FF1F1F1F"/>
      <name val="Calibri"/>
      <scheme val="minor"/>
    </font>
    <font>
      <b/>
      <i/>
      <sz val="10.0"/>
      <color theme="1"/>
      <name val="Calibri"/>
    </font>
    <font>
      <sz val="10.0"/>
      <color theme="1"/>
      <name val="Arial"/>
    </font>
    <font>
      <i/>
      <sz val="10.0"/>
      <color theme="1"/>
      <name val="Calibri"/>
    </font>
    <font>
      <b/>
      <sz val="15.0"/>
      <color rgb="FF1F1F1F"/>
      <name val="&quot;Google Sans&quot;"/>
    </font>
    <font>
      <b/>
      <sz val="14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2.0"/>
      <color theme="1"/>
      <name val="Calibri"/>
    </font>
    <font>
      <b/>
      <sz val="11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Calibri"/>
    </font>
    <font>
      <b/>
      <sz val="20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8EAADB"/>
        <bgColor rgb="FF8EAADB"/>
      </patternFill>
    </fill>
    <fill>
      <patternFill patternType="solid">
        <fgColor rgb="FFF4B084"/>
        <bgColor rgb="FFF4B084"/>
      </patternFill>
    </fill>
    <fill>
      <patternFill patternType="solid">
        <fgColor rgb="FF9BC2E6"/>
        <bgColor rgb="FF9BC2E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A9D08E"/>
        <bgColor rgb="FFA9D08E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theme="1"/>
      </left>
      <right style="medium">
        <color theme="1"/>
      </right>
      <top style="medium">
        <color theme="1"/>
      </top>
    </border>
    <border>
      <right style="medium">
        <color theme="1"/>
      </right>
    </border>
    <border>
      <left style="medium">
        <color theme="1"/>
      </left>
      <right style="medium">
        <color theme="1"/>
      </righ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2" fontId="3" numFmtId="0" xfId="0" applyFont="1"/>
    <xf borderId="1" fillId="0" fontId="1" numFmtId="0" xfId="0" applyBorder="1" applyFont="1"/>
    <xf borderId="1" fillId="0" fontId="4" numFmtId="0" xfId="0" applyBorder="1" applyFont="1"/>
    <xf borderId="1" fillId="0" fontId="5" numFmtId="0" xfId="0" applyBorder="1" applyFont="1"/>
    <xf borderId="1" fillId="0" fontId="6" numFmtId="0" xfId="0" applyBorder="1" applyFont="1"/>
    <xf borderId="1" fillId="3" fontId="6" numFmtId="0" xfId="0" applyBorder="1" applyFill="1" applyFont="1"/>
    <xf borderId="1" fillId="3" fontId="5" numFmtId="0" xfId="0" applyBorder="1" applyFont="1"/>
    <xf borderId="1" fillId="3" fontId="7" numFmtId="0" xfId="0" applyBorder="1" applyFont="1"/>
    <xf borderId="0" fillId="0" fontId="4" numFmtId="0" xfId="0" applyFont="1"/>
    <xf borderId="2" fillId="4" fontId="7" numFmtId="0" xfId="0" applyBorder="1" applyFill="1" applyFont="1"/>
    <xf borderId="0" fillId="0" fontId="1" numFmtId="0" xfId="0" applyFont="1"/>
    <xf borderId="3" fillId="4" fontId="4" numFmtId="0" xfId="0" applyBorder="1" applyFont="1"/>
    <xf borderId="0" fillId="0" fontId="6" numFmtId="0" xfId="0" applyFont="1"/>
    <xf borderId="3" fillId="5" fontId="4" numFmtId="0" xfId="0" applyBorder="1" applyFill="1" applyFont="1"/>
    <xf borderId="3" fillId="5" fontId="7" numFmtId="0" xfId="0" applyBorder="1" applyFont="1"/>
    <xf borderId="1" fillId="6" fontId="8" numFmtId="0" xfId="0" applyAlignment="1" applyBorder="1" applyFill="1" applyFont="1">
      <alignment horizontal="center"/>
    </xf>
    <xf borderId="0" fillId="0" fontId="9" numFmtId="0" xfId="0" applyAlignment="1" applyFont="1">
      <alignment horizontal="center"/>
    </xf>
    <xf borderId="1" fillId="0" fontId="10" numFmtId="1" xfId="0" applyAlignment="1" applyBorder="1" applyFont="1" applyNumberFormat="1">
      <alignment horizontal="center"/>
    </xf>
    <xf borderId="1" fillId="0" fontId="10" numFmtId="2" xfId="0" applyAlignment="1" applyBorder="1" applyFont="1" applyNumberFormat="1">
      <alignment horizontal="center"/>
    </xf>
    <xf borderId="3" fillId="3" fontId="4" numFmtId="0" xfId="0" applyBorder="1" applyFont="1"/>
    <xf borderId="3" fillId="3" fontId="7" numFmtId="0" xfId="0" applyBorder="1" applyFont="1"/>
    <xf borderId="1" fillId="0" fontId="11" numFmtId="2" xfId="0" applyAlignment="1" applyBorder="1" applyFont="1" applyNumberFormat="1">
      <alignment horizontal="center"/>
    </xf>
    <xf borderId="4" fillId="0" fontId="12" numFmtId="0" xfId="0" applyBorder="1" applyFont="1"/>
    <xf borderId="3" fillId="7" fontId="4" numFmtId="0" xfId="0" applyBorder="1" applyFill="1" applyFont="1"/>
    <xf borderId="3" fillId="7" fontId="7" numFmtId="0" xfId="0" applyBorder="1" applyFont="1"/>
    <xf borderId="5" fillId="6" fontId="8" numFmtId="0" xfId="0" applyAlignment="1" applyBorder="1" applyFont="1">
      <alignment horizontal="center" shrinkToFit="0" vertical="center" wrapText="1"/>
    </xf>
    <xf borderId="6" fillId="0" fontId="13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/>
    </xf>
    <xf borderId="1" fillId="0" fontId="7" numFmtId="164" xfId="0" applyAlignment="1" applyBorder="1" applyFont="1" applyNumberFormat="1">
      <alignment horizontal="center"/>
    </xf>
    <xf borderId="3" fillId="8" fontId="7" numFmtId="0" xfId="0" applyBorder="1" applyFill="1" applyFont="1"/>
    <xf borderId="0" fillId="0" fontId="7" numFmtId="0" xfId="0" applyAlignment="1" applyFont="1">
      <alignment horizontal="center"/>
    </xf>
    <xf borderId="1" fillId="0" fontId="6" numFmtId="164" xfId="0" applyAlignment="1" applyBorder="1" applyFont="1" applyNumberFormat="1">
      <alignment horizontal="center" shrinkToFit="0" vertical="center" wrapText="1"/>
    </xf>
    <xf borderId="5" fillId="6" fontId="14" numFmtId="0" xfId="0" applyAlignment="1" applyBorder="1" applyFont="1">
      <alignment horizontal="center" vertical="center"/>
    </xf>
    <xf borderId="5" fillId="6" fontId="11" numFmtId="0" xfId="0" applyAlignment="1" applyBorder="1" applyFont="1">
      <alignment horizontal="center" shrinkToFit="0" vertical="center" wrapText="1"/>
    </xf>
    <xf borderId="5" fillId="6" fontId="11" numFmtId="0" xfId="0" applyAlignment="1" applyBorder="1" applyFont="1">
      <alignment horizontal="center" vertical="center"/>
    </xf>
    <xf borderId="7" fillId="0" fontId="13" numFmtId="0" xfId="0" applyBorder="1" applyFont="1"/>
    <xf borderId="1" fillId="6" fontId="11" numFmtId="0" xfId="0" applyAlignment="1" applyBorder="1" applyFont="1">
      <alignment horizontal="center"/>
    </xf>
    <xf borderId="1" fillId="9" fontId="7" numFmtId="164" xfId="0" applyAlignment="1" applyBorder="1" applyFill="1" applyFont="1" applyNumberFormat="1">
      <alignment horizontal="center"/>
    </xf>
    <xf borderId="1" fillId="10" fontId="7" numFmtId="164" xfId="0" applyAlignment="1" applyBorder="1" applyFill="1" applyFont="1" applyNumberFormat="1">
      <alignment horizontal="center"/>
    </xf>
    <xf borderId="1" fillId="11" fontId="7" numFmtId="164" xfId="0" applyAlignment="1" applyBorder="1" applyFill="1" applyFont="1" applyNumberFormat="1">
      <alignment horizontal="center"/>
    </xf>
    <xf borderId="1" fillId="3" fontId="14" numFmtId="0" xfId="0" applyAlignment="1" applyBorder="1" applyFont="1">
      <alignment horizontal="center"/>
    </xf>
    <xf borderId="1" fillId="3" fontId="15" numFmtId="2" xfId="0" applyAlignment="1" applyBorder="1" applyFont="1" applyNumberFormat="1">
      <alignment horizontal="center"/>
    </xf>
    <xf borderId="0" fillId="0" fontId="16" numFmtId="0" xfId="0" applyAlignment="1" applyFont="1">
      <alignment readingOrder="0"/>
    </xf>
    <xf borderId="1" fillId="0" fontId="16" numFmtId="0" xfId="0" applyAlignment="1" applyBorder="1" applyFont="1">
      <alignment readingOrder="0"/>
    </xf>
    <xf borderId="1" fillId="0" fontId="17" numFmtId="0" xfId="0" applyAlignment="1" applyBorder="1" applyFont="1">
      <alignment horizontal="center" readingOrder="0"/>
    </xf>
    <xf borderId="1" fillId="0" fontId="17" numFmtId="0" xfId="0" applyAlignment="1" applyBorder="1" applyFont="1">
      <alignment readingOrder="0"/>
    </xf>
    <xf borderId="0" fillId="0" fontId="18" numFmtId="0" xfId="0" applyAlignment="1" applyFont="1">
      <alignment readingOrder="0"/>
    </xf>
    <xf borderId="0" fillId="3" fontId="18" numFmtId="0" xfId="0" applyFont="1"/>
    <xf borderId="1" fillId="12" fontId="1" numFmtId="0" xfId="0" applyBorder="1" applyFill="1" applyFont="1"/>
    <xf borderId="3" fillId="4" fontId="7" numFmtId="0" xfId="0" applyBorder="1" applyFont="1"/>
    <xf borderId="1" fillId="13" fontId="7" numFmtId="164" xfId="0" applyAlignment="1" applyBorder="1" applyFill="1" applyFont="1" applyNumberFormat="1">
      <alignment horizontal="center"/>
    </xf>
    <xf borderId="1" fillId="0" fontId="19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0" fillId="3" fontId="1" numFmtId="0" xfId="0" applyFont="1"/>
    <xf borderId="8" fillId="4" fontId="7" numFmtId="0" xfId="0" applyBorder="1" applyFont="1"/>
    <xf borderId="1" fillId="3" fontId="4" numFmtId="0" xfId="0" applyBorder="1" applyFont="1"/>
    <xf borderId="9" fillId="6" fontId="11" numFmtId="0" xfId="0" applyAlignment="1" applyBorder="1" applyFont="1">
      <alignment horizontal="center" shrinkToFit="0" vertical="center" wrapText="1"/>
    </xf>
    <xf borderId="10" fillId="0" fontId="13" numFmtId="0" xfId="0" applyBorder="1" applyFont="1"/>
    <xf borderId="11" fillId="0" fontId="13" numFmtId="0" xfId="0" applyBorder="1" applyFont="1"/>
    <xf borderId="12" fillId="0" fontId="13" numFmtId="0" xfId="0" applyBorder="1" applyFont="1"/>
    <xf borderId="1" fillId="6" fontId="11" numFmtId="2" xfId="0" applyAlignment="1" applyBorder="1" applyFont="1" applyNumberFormat="1">
      <alignment horizontal="center"/>
    </xf>
    <xf borderId="13" fillId="0" fontId="10" numFmtId="2" xfId="0" applyAlignment="1" applyBorder="1" applyFont="1" applyNumberFormat="1">
      <alignment horizontal="center"/>
    </xf>
    <xf borderId="4" fillId="0" fontId="13" numFmtId="0" xfId="0" applyBorder="1" applyFont="1"/>
    <xf borderId="1" fillId="0" fontId="10" numFmtId="0" xfId="0" applyAlignment="1" applyBorder="1" applyFont="1">
      <alignment horizontal="right"/>
    </xf>
    <xf borderId="1" fillId="0" fontId="10" numFmtId="0" xfId="0" applyAlignment="1" applyBorder="1" applyFont="1">
      <alignment horizontal="center"/>
    </xf>
    <xf borderId="1" fillId="0" fontId="10" numFmtId="2" xfId="0" applyBorder="1" applyFont="1" applyNumberFormat="1"/>
    <xf borderId="1" fillId="0" fontId="20" numFmtId="0" xfId="0" applyBorder="1" applyFont="1"/>
    <xf borderId="1" fillId="0" fontId="10" numFmtId="0" xfId="0" applyBorder="1" applyFont="1"/>
    <xf borderId="1" fillId="3" fontId="10" numFmtId="2" xfId="0" applyBorder="1" applyFont="1" applyNumberFormat="1"/>
    <xf borderId="3" fillId="13" fontId="7" numFmtId="0" xfId="0" applyBorder="1" applyFont="1"/>
    <xf borderId="3" fillId="13" fontId="7" numFmtId="2" xfId="0" applyBorder="1" applyFont="1" applyNumberFormat="1"/>
    <xf borderId="0" fillId="2" fontId="21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18" numFmtId="0" xfId="0" applyAlignment="1" applyBorder="1" applyFont="1">
      <alignment horizontal="center" readingOrder="0"/>
    </xf>
    <xf borderId="1" fillId="0" fontId="18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1" fillId="0" fontId="7" numFmtId="0" xfId="0" applyBorder="1" applyFont="1"/>
    <xf borderId="0" fillId="0" fontId="11" numFmtId="0" xfId="0" applyFont="1"/>
    <xf borderId="5" fillId="6" fontId="14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center"/>
    </xf>
    <xf borderId="15" fillId="0" fontId="9" numFmtId="165" xfId="0" applyAlignment="1" applyBorder="1" applyFont="1" applyNumberFormat="1">
      <alignment horizontal="center"/>
    </xf>
    <xf borderId="16" fillId="0" fontId="9" numFmtId="165" xfId="0" applyAlignment="1" applyBorder="1" applyFont="1" applyNumberFormat="1">
      <alignment horizontal="center"/>
    </xf>
    <xf borderId="17" fillId="0" fontId="9" numFmtId="165" xfId="0" applyAlignment="1" applyBorder="1" applyFont="1" applyNumberFormat="1">
      <alignment horizontal="center"/>
    </xf>
    <xf borderId="18" fillId="0" fontId="9" numFmtId="0" xfId="0" applyAlignment="1" applyBorder="1" applyFont="1">
      <alignment horizontal="center"/>
    </xf>
    <xf borderId="19" fillId="0" fontId="9" numFmtId="0" xfId="0" applyAlignment="1" applyBorder="1" applyFont="1">
      <alignment horizontal="center"/>
    </xf>
    <xf borderId="20" fillId="3" fontId="8" numFmtId="165" xfId="0" applyAlignment="1" applyBorder="1" applyFont="1" applyNumberFormat="1">
      <alignment horizontal="center"/>
    </xf>
    <xf borderId="19" fillId="0" fontId="8" numFmtId="165" xfId="0" applyAlignment="1" applyBorder="1" applyFont="1" applyNumberFormat="1">
      <alignment horizontal="center"/>
    </xf>
    <xf borderId="21" fillId="0" fontId="9" numFmtId="0" xfId="0" applyAlignment="1" applyBorder="1" applyFont="1">
      <alignment horizontal="center"/>
    </xf>
    <xf borderId="3" fillId="3" fontId="8" numFmtId="165" xfId="0" applyAlignment="1" applyBorder="1" applyFont="1" applyNumberFormat="1">
      <alignment horizontal="center"/>
    </xf>
    <xf borderId="14" fillId="0" fontId="9" numFmtId="165" xfId="0" applyAlignment="1" applyBorder="1" applyFont="1" applyNumberFormat="1">
      <alignment horizontal="center"/>
    </xf>
    <xf borderId="22" fillId="0" fontId="9" numFmtId="0" xfId="0" applyAlignment="1" applyBorder="1" applyFont="1">
      <alignment horizontal="center"/>
    </xf>
    <xf borderId="23" fillId="0" fontId="9" numFmtId="0" xfId="0" applyAlignment="1" applyBorder="1" applyFont="1">
      <alignment horizontal="center"/>
    </xf>
    <xf borderId="24" fillId="0" fontId="9" numFmtId="165" xfId="0" applyAlignment="1" applyBorder="1" applyFont="1" applyNumberFormat="1">
      <alignment horizontal="center"/>
    </xf>
    <xf borderId="23" fillId="0" fontId="9" numFmtId="165" xfId="0" applyAlignment="1" applyBorder="1" applyFont="1" applyNumberFormat="1">
      <alignment horizontal="center"/>
    </xf>
    <xf borderId="1" fillId="3" fontId="22" numFmtId="0" xfId="0" applyAlignment="1" applyBorder="1" applyFont="1">
      <alignment horizontal="center"/>
    </xf>
    <xf borderId="1" fillId="3" fontId="10" numFmtId="2" xfId="0" applyAlignment="1" applyBorder="1" applyFont="1" applyNumberFormat="1">
      <alignment horizontal="center"/>
    </xf>
    <xf borderId="0" fillId="2" fontId="23" numFmtId="0" xfId="0" applyAlignment="1" applyFont="1">
      <alignment readingOrder="0"/>
    </xf>
    <xf borderId="1" fillId="0" fontId="16" numFmtId="0" xfId="0" applyBorder="1" applyFont="1"/>
    <xf borderId="1" fillId="0" fontId="18" numFmtId="0" xfId="0" applyAlignment="1" applyBorder="1" applyFont="1">
      <alignment horizontal="center"/>
    </xf>
    <xf borderId="5" fillId="6" fontId="24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/>
    </xf>
    <xf borderId="1" fillId="0" fontId="9" numFmtId="2" xfId="0" applyAlignment="1" applyBorder="1" applyFont="1" applyNumberFormat="1">
      <alignment horizontal="center"/>
    </xf>
    <xf borderId="0" fillId="0" fontId="8" numFmtId="0" xfId="0" applyFont="1"/>
    <xf borderId="5" fillId="6" fontId="24" numFmtId="0" xfId="0" applyAlignment="1" applyBorder="1" applyFont="1">
      <alignment horizontal="center" shrinkToFit="0" vertical="center" wrapText="1"/>
    </xf>
    <xf borderId="1" fillId="0" fontId="25" numFmtId="2" xfId="0" applyAlignment="1" applyBorder="1" applyFont="1" applyNumberFormat="1">
      <alignment horizontal="center"/>
    </xf>
    <xf borderId="1" fillId="0" fontId="25" numFmtId="0" xfId="0" applyAlignment="1" applyBorder="1" applyFont="1">
      <alignment horizontal="center"/>
    </xf>
    <xf borderId="1" fillId="3" fontId="26" numFmtId="0" xfId="0" applyAlignment="1" applyBorder="1" applyFont="1">
      <alignment horizontal="center"/>
    </xf>
    <xf borderId="1" fillId="3" fontId="9" numFmtId="2" xfId="0" applyAlignment="1" applyBorder="1" applyFont="1" applyNumberFormat="1">
      <alignment horizontal="center"/>
    </xf>
    <xf borderId="0" fillId="2" fontId="27" numFmtId="0" xfId="0" applyAlignment="1" applyFont="1">
      <alignment readingOrder="0"/>
    </xf>
    <xf borderId="1" fillId="0" fontId="10" numFmtId="0" xfId="0" applyAlignment="1" applyBorder="1" applyFont="1">
      <alignment horizontal="center" vertical="bottom"/>
    </xf>
    <xf borderId="0" fillId="14" fontId="28" numFmtId="0" xfId="0" applyAlignment="1" applyFill="1" applyFont="1">
      <alignment readingOrder="0" shrinkToFit="0" vertical="bottom" wrapText="0"/>
    </xf>
    <xf borderId="0" fillId="14" fontId="29" numFmtId="0" xfId="0" applyAlignment="1" applyFont="1">
      <alignment shrinkToFit="0" vertical="bottom" wrapText="0"/>
    </xf>
    <xf borderId="0" fillId="0" fontId="30" numFmtId="0" xfId="0" applyAlignment="1" applyFont="1">
      <alignment horizontal="left" shrinkToFit="0" vertical="bottom" wrapText="0"/>
    </xf>
    <xf borderId="0" fillId="0" fontId="30" numFmtId="0" xfId="0" applyAlignment="1" applyFont="1">
      <alignment shrinkToFit="0" vertical="bottom" wrapText="0"/>
    </xf>
    <xf borderId="0" fillId="0" fontId="30" numFmtId="0" xfId="0" applyAlignment="1" applyFont="1">
      <alignment readingOrder="0" shrinkToFit="0" vertical="bottom" wrapText="0"/>
    </xf>
    <xf borderId="0" fillId="0" fontId="30" numFmtId="0" xfId="0" applyAlignment="1" applyFont="1">
      <alignment horizontal="right" readingOrder="0" shrinkToFit="0" vertical="bottom" wrapText="0"/>
    </xf>
    <xf borderId="0" fillId="0" fontId="30" numFmtId="0" xfId="0" applyAlignment="1" applyFont="1">
      <alignment shrinkToFit="0" vertical="bottom" wrapText="0"/>
    </xf>
    <xf borderId="0" fillId="15" fontId="31" numFmtId="0" xfId="0" applyAlignment="1" applyFill="1" applyFont="1">
      <alignment readingOrder="0" shrinkToFit="0" vertical="bottom" wrapText="0"/>
    </xf>
    <xf borderId="0" fillId="15" fontId="30" numFmtId="0" xfId="0" applyAlignment="1" applyFont="1">
      <alignment shrinkToFit="0" vertical="bottom" wrapText="0"/>
    </xf>
    <xf borderId="13" fillId="16" fontId="30" numFmtId="0" xfId="0" applyAlignment="1" applyBorder="1" applyFill="1" applyFont="1">
      <alignment readingOrder="0" shrinkToFit="0" vertical="bottom" wrapText="0"/>
    </xf>
    <xf borderId="25" fillId="16" fontId="30" numFmtId="0" xfId="0" applyAlignment="1" applyBorder="1" applyFont="1">
      <alignment shrinkToFit="0" vertical="bottom" wrapText="0"/>
    </xf>
    <xf borderId="4" fillId="16" fontId="30" numFmtId="0" xfId="0" applyAlignment="1" applyBorder="1" applyFont="1">
      <alignment shrinkToFit="0" vertical="bottom" wrapText="0"/>
    </xf>
    <xf borderId="13" fillId="14" fontId="30" numFmtId="0" xfId="0" applyAlignment="1" applyBorder="1" applyFont="1">
      <alignment readingOrder="0" shrinkToFit="0" vertical="bottom" wrapText="0"/>
    </xf>
    <xf borderId="25" fillId="14" fontId="30" numFmtId="0" xfId="0" applyAlignment="1" applyBorder="1" applyFont="1">
      <alignment horizontal="center" readingOrder="0" shrinkToFit="0" vertical="bottom" wrapText="0"/>
    </xf>
    <xf borderId="4" fillId="14" fontId="30" numFmtId="0" xfId="0" applyAlignment="1" applyBorder="1" applyFont="1">
      <alignment horizontal="center" readingOrder="0" shrinkToFit="0" vertical="bottom" wrapText="0"/>
    </xf>
    <xf borderId="7" fillId="17" fontId="30" numFmtId="0" xfId="0" applyAlignment="1" applyBorder="1" applyFill="1" applyFont="1">
      <alignment readingOrder="0" shrinkToFit="0" vertical="bottom" wrapText="0"/>
    </xf>
    <xf borderId="26" fillId="0" fontId="30" numFmtId="0" xfId="0" applyAlignment="1" applyBorder="1" applyFont="1">
      <alignment shrinkToFit="0" vertical="bottom" wrapText="0"/>
    </xf>
    <xf borderId="26" fillId="0" fontId="30" numFmtId="0" xfId="0" applyAlignment="1" applyBorder="1" applyFont="1">
      <alignment shrinkToFit="0" vertical="bottom" wrapText="0"/>
    </xf>
    <xf borderId="26" fillId="0" fontId="30" numFmtId="0" xfId="0" applyAlignment="1" applyBorder="1" applyFont="1">
      <alignment horizontal="right" readingOrder="0" shrinkToFit="0" vertical="bottom" wrapText="0"/>
    </xf>
    <xf borderId="6" fillId="17" fontId="30" numFmtId="0" xfId="0" applyAlignment="1" applyBorder="1" applyFont="1">
      <alignment readingOrder="0" shrinkToFit="0" vertical="bottom" wrapText="0"/>
    </xf>
    <xf borderId="27" fillId="0" fontId="30" numFmtId="0" xfId="0" applyAlignment="1" applyBorder="1" applyFont="1">
      <alignment horizontal="right" readingOrder="0" shrinkToFit="0" vertical="bottom" wrapText="0"/>
    </xf>
    <xf borderId="12" fillId="0" fontId="30" numFmtId="0" xfId="0" applyAlignment="1" applyBorder="1" applyFont="1">
      <alignment shrinkToFit="0" vertical="bottom" wrapText="0"/>
    </xf>
    <xf borderId="6" fillId="18" fontId="30" numFmtId="0" xfId="0" applyAlignment="1" applyBorder="1" applyFill="1" applyFont="1">
      <alignment horizontal="right" readingOrder="0" shrinkToFit="0" vertical="bottom" wrapText="0"/>
    </xf>
    <xf borderId="12" fillId="0" fontId="30" numFmtId="0" xfId="0" applyAlignment="1" applyBorder="1" applyFont="1">
      <alignment shrinkToFit="0" vertical="bottom" wrapText="0"/>
    </xf>
    <xf borderId="0" fillId="15" fontId="30" numFmtId="0" xfId="0" applyAlignment="1" applyFont="1">
      <alignment shrinkToFit="0" vertical="bottom" wrapText="0"/>
    </xf>
    <xf borderId="25" fillId="16" fontId="30" numFmtId="0" xfId="0" applyAlignment="1" applyBorder="1" applyFont="1">
      <alignment shrinkToFit="0" vertical="bottom" wrapText="0"/>
    </xf>
    <xf borderId="0" fillId="0" fontId="10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3" fontId="32" numFmtId="0" xfId="0" applyAlignment="1" applyFont="1">
      <alignment vertical="bottom"/>
    </xf>
    <xf borderId="0" fillId="12" fontId="10" numFmtId="0" xfId="0" applyAlignment="1" applyFont="1">
      <alignment vertical="bottom"/>
    </xf>
    <xf borderId="0" fillId="12" fontId="4" numFmtId="0" xfId="0" applyAlignment="1" applyFont="1">
      <alignment vertical="bottom"/>
    </xf>
    <xf borderId="27" fillId="0" fontId="10" numFmtId="0" xfId="0" applyAlignment="1" applyBorder="1" applyFont="1">
      <alignment vertical="bottom"/>
    </xf>
    <xf borderId="26" fillId="0" fontId="10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2" fillId="0" fontId="4" numFmtId="0" xfId="0" applyAlignment="1" applyBorder="1" applyFont="1">
      <alignment horizontal="right"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horizontal="right" vertical="bottom"/>
    </xf>
    <xf borderId="12" fillId="0" fontId="7" numFmtId="0" xfId="0" applyAlignment="1" applyBorder="1" applyFont="1">
      <alignment horizontal="right" vertical="bottom"/>
    </xf>
    <xf borderId="12" fillId="0" fontId="33" numFmtId="0" xfId="0" applyAlignment="1" applyBorder="1" applyFont="1">
      <alignment horizontal="right" vertical="bottom"/>
    </xf>
    <xf borderId="12" fillId="0" fontId="33" numFmtId="0" xfId="0" applyAlignment="1" applyBorder="1" applyFont="1">
      <alignment vertical="bottom"/>
    </xf>
    <xf borderId="12" fillId="0" fontId="20" numFmtId="0" xfId="0" applyAlignment="1" applyBorder="1" applyFont="1">
      <alignment horizontal="right" vertical="bottom"/>
    </xf>
    <xf borderId="12" fillId="0" fontId="11" numFmtId="0" xfId="0" applyAlignment="1" applyBorder="1" applyFont="1">
      <alignment vertical="bottom"/>
    </xf>
    <xf borderId="12" fillId="0" fontId="11" numFmtId="0" xfId="0" applyAlignment="1" applyBorder="1" applyFont="1">
      <alignment horizontal="right" vertical="bottom"/>
    </xf>
    <xf borderId="12" fillId="0" fontId="34" numFmtId="0" xfId="0" applyAlignment="1" applyBorder="1" applyFont="1">
      <alignment vertical="bottom"/>
    </xf>
    <xf borderId="27" fillId="0" fontId="33" numFmtId="0" xfId="0" applyAlignment="1" applyBorder="1" applyFont="1">
      <alignment shrinkToFit="0" vertical="bottom" wrapText="0"/>
    </xf>
    <xf borderId="12" fillId="0" fontId="35" numFmtId="0" xfId="0" applyAlignment="1" applyBorder="1" applyFont="1">
      <alignment vertical="bottom"/>
    </xf>
    <xf borderId="12" fillId="0" fontId="34" numFmtId="0" xfId="0" applyAlignment="1" applyBorder="1" applyFont="1">
      <alignment horizontal="right" vertical="bottom"/>
    </xf>
    <xf borderId="0" fillId="0" fontId="36" numFmtId="0" xfId="0" applyAlignment="1" applyFont="1">
      <alignment shrinkToFit="0" vertical="bottom" wrapText="0"/>
    </xf>
    <xf borderId="0" fillId="0" fontId="37" numFmtId="0" xfId="0" applyAlignment="1" applyFont="1">
      <alignment vertical="bottom"/>
    </xf>
    <xf borderId="1" fillId="0" fontId="36" numFmtId="0" xfId="0" applyAlignment="1" applyBorder="1" applyFont="1">
      <alignment vertical="bottom"/>
    </xf>
    <xf borderId="1" fillId="0" fontId="37" numFmtId="0" xfId="0" applyAlignment="1" applyBorder="1" applyFont="1">
      <alignment vertical="bottom"/>
    </xf>
    <xf borderId="1" fillId="0" fontId="37" numFmtId="0" xfId="0" applyAlignment="1" applyBorder="1" applyFont="1">
      <alignment horizontal="right" vertical="bottom"/>
    </xf>
    <xf borderId="1" fillId="0" fontId="37" numFmtId="0" xfId="0" applyAlignment="1" applyBorder="1" applyFont="1">
      <alignment horizontal="right" readingOrder="0" vertical="bottom"/>
    </xf>
    <xf borderId="0" fillId="0" fontId="37" numFmtId="0" xfId="0" applyAlignment="1" applyFont="1">
      <alignment shrinkToFit="0" vertical="bottom" wrapText="0"/>
    </xf>
    <xf borderId="0" fillId="0" fontId="37" numFmtId="0" xfId="0" applyAlignment="1" applyFont="1">
      <alignment horizontal="right" vertical="bottom"/>
    </xf>
    <xf borderId="1" fillId="0" fontId="38" numFmtId="0" xfId="0" applyAlignment="1" applyBorder="1" applyFont="1">
      <alignment horizontal="right" readingOrder="0" vertical="bottom"/>
    </xf>
    <xf borderId="1" fillId="0" fontId="38" numFmtId="0" xfId="0" applyAlignment="1" applyBorder="1" applyFont="1">
      <alignment horizontal="right" vertical="bottom"/>
    </xf>
    <xf borderId="0" fillId="3" fontId="39" numFmtId="0" xfId="0" applyAlignment="1" applyFont="1">
      <alignment readingOrder="0" shrinkToFit="0" vertical="bottom" wrapText="0"/>
    </xf>
    <xf borderId="27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2" fillId="0" fontId="7" numFmtId="0" xfId="0" applyAlignment="1" applyBorder="1" applyFont="1">
      <alignment horizontal="right" readingOrder="0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27" fillId="0" fontId="4" numFmtId="0" xfId="0" applyAlignment="1" applyBorder="1" applyFont="1">
      <alignment vertical="bottom"/>
    </xf>
    <xf borderId="0" fillId="0" fontId="4" numFmtId="0" xfId="0" applyAlignment="1" applyFont="1">
      <alignment shrinkToFit="0" vertical="bottom" wrapText="1"/>
    </xf>
    <xf borderId="12" fillId="0" fontId="4" numFmtId="0" xfId="0" applyAlignment="1" applyBorder="1" applyFont="1">
      <alignment vertical="top"/>
    </xf>
    <xf borderId="12" fillId="0" fontId="4" numFmtId="0" xfId="0" applyAlignment="1" applyBorder="1" applyFont="1">
      <alignment shrinkToFit="0" vertical="top" wrapText="1"/>
    </xf>
    <xf borderId="12" fillId="0" fontId="7" numFmtId="0" xfId="0" applyAlignment="1" applyBorder="1" applyFont="1">
      <alignment vertical="bottom"/>
    </xf>
    <xf borderId="0" fillId="0" fontId="4" numFmtId="166" xfId="0" applyAlignment="1" applyFont="1" applyNumberFormat="1">
      <alignment horizontal="right" vertical="bottom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vertical="bottom"/>
    </xf>
    <xf borderId="0" fillId="3" fontId="7" numFmtId="0" xfId="0" applyAlignment="1" applyFont="1">
      <alignment horizontal="right" vertical="bottom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272462817147857"/>
          <c:y val="0.19486111111111112"/>
          <c:w val="0.8901968503937008"/>
          <c:h val="0.7208876494604841"/>
        </c:manualLayout>
      </c:layout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'Product 1'!$B$4:$B$23</c:f>
              <c:numCache/>
            </c:numRef>
          </c:val>
          <c:smooth val="0"/>
        </c:ser>
        <c:axId val="159763726"/>
        <c:axId val="765198057"/>
      </c:lineChart>
      <c:catAx>
        <c:axId val="159763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65198057"/>
      </c:catAx>
      <c:valAx>
        <c:axId val="765198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976372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'Product 2'!$B$31:$B$50</c:f>
              <c:numCache/>
            </c:numRef>
          </c:val>
          <c:smooth val="0"/>
        </c:ser>
        <c:axId val="1852549321"/>
        <c:axId val="1939055670"/>
      </c:lineChart>
      <c:catAx>
        <c:axId val="1852549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9055670"/>
      </c:catAx>
      <c:valAx>
        <c:axId val="1939055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5254932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312489063867016"/>
          <c:y val="0.19483814523184603"/>
          <c:w val="0.8775417760279965"/>
          <c:h val="0.7209488918051911"/>
        </c:manualLayout>
      </c:layout>
      <c:scatterChart>
        <c:scatterStyle val="lineMarker"/>
        <c:varyColors val="0"/>
        <c:ser>
          <c:idx val="0"/>
          <c:order val="0"/>
          <c:tx>
            <c:v>Product 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(Product 3)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'Product 3'!$C$3:$C$22</c:f>
            </c:numRef>
          </c:xVal>
          <c:yVal>
            <c:numRef>
              <c:f>'Product 3'!$D$3:$D$22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690877"/>
        <c:axId val="1122197291"/>
      </c:scatterChart>
      <c:valAx>
        <c:axId val="13046908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22197291"/>
      </c:valAx>
      <c:valAx>
        <c:axId val="11221972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469087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'Product 5'!$A$6:$A$25</c:f>
            </c:numRef>
          </c:xVal>
          <c:yVal>
            <c:numRef>
              <c:f>'Product 5'!$B$6:$B$25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595422"/>
        <c:axId val="2068546956"/>
      </c:scatterChart>
      <c:valAx>
        <c:axId val="5505954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8546956"/>
      </c:valAx>
      <c:valAx>
        <c:axId val="2068546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059542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609600</xdr:colOff>
      <xdr:row>34</xdr:row>
      <xdr:rowOff>38100</xdr:rowOff>
    </xdr:from>
    <xdr:ext cx="5048250" cy="2695575"/>
    <xdr:graphicFrame>
      <xdr:nvGraphicFramePr>
        <xdr:cNvPr id="112755840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762000</xdr:colOff>
      <xdr:row>5</xdr:row>
      <xdr:rowOff>76200</xdr:rowOff>
    </xdr:from>
    <xdr:ext cx="4476750" cy="46196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323850</xdr:colOff>
      <xdr:row>32</xdr:row>
      <xdr:rowOff>171450</xdr:rowOff>
    </xdr:from>
    <xdr:ext cx="4962525" cy="2705100"/>
    <xdr:graphicFrame>
      <xdr:nvGraphicFramePr>
        <xdr:cNvPr id="185434628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9</xdr:row>
      <xdr:rowOff>0</xdr:rowOff>
    </xdr:from>
    <xdr:ext cx="4476750" cy="6496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552450</xdr:colOff>
      <xdr:row>1</xdr:row>
      <xdr:rowOff>180975</xdr:rowOff>
    </xdr:from>
    <xdr:ext cx="8763000" cy="4143375"/>
    <xdr:graphicFrame>
      <xdr:nvGraphicFramePr>
        <xdr:cNvPr id="149338078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8</xdr:row>
      <xdr:rowOff>0</xdr:rowOff>
    </xdr:from>
    <xdr:ext cx="4476750" cy="6496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9</xdr:row>
      <xdr:rowOff>0</xdr:rowOff>
    </xdr:from>
    <xdr:ext cx="4476750" cy="6496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304800</xdr:colOff>
      <xdr:row>5</xdr:row>
      <xdr:rowOff>190500</xdr:rowOff>
    </xdr:from>
    <xdr:ext cx="4962525" cy="2705100"/>
    <xdr:graphicFrame>
      <xdr:nvGraphicFramePr>
        <xdr:cNvPr id="25147146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11</xdr:row>
      <xdr:rowOff>0</xdr:rowOff>
    </xdr:from>
    <xdr:ext cx="4476750" cy="6496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219075</xdr:rowOff>
    </xdr:from>
    <xdr:ext cx="5419725" cy="21431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895350</xdr:colOff>
      <xdr:row>0</xdr:row>
      <xdr:rowOff>219075</xdr:rowOff>
    </xdr:from>
    <xdr:ext cx="7772400" cy="13811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6134100" cy="40195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2781300" cy="22479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228600</xdr:rowOff>
    </xdr:from>
    <xdr:ext cx="6724650" cy="43910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866775</xdr:colOff>
      <xdr:row>2</xdr:row>
      <xdr:rowOff>-104775</xdr:rowOff>
    </xdr:from>
    <xdr:ext cx="6076950" cy="4800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/Users/patel/Desktop/Submit%20140/Forecasting_P1%20P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duct 1"/>
      <sheetName val="Product 5"/>
      <sheetName val="Product 1 Planning"/>
      <sheetName val="Product 5 Planning"/>
      <sheetName val="Product 3"/>
      <sheetName val="Product 3 Plann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4" width="10.56"/>
  </cols>
  <sheetData>
    <row r="1" ht="15.75" customHeight="1">
      <c r="A1" s="1"/>
      <c r="B1" s="1"/>
      <c r="C1" s="1"/>
      <c r="D1" s="1"/>
      <c r="E1" s="2" t="s">
        <v>0</v>
      </c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/>
    <row r="3" ht="15.75" customHeight="1">
      <c r="A3" s="4"/>
      <c r="B3" s="5" t="s">
        <v>1</v>
      </c>
      <c r="C3" s="5" t="s">
        <v>2</v>
      </c>
      <c r="D3" s="5" t="s">
        <v>3</v>
      </c>
      <c r="E3" s="4"/>
      <c r="F3" s="4"/>
      <c r="G3" s="4"/>
      <c r="H3" s="6"/>
      <c r="I3" s="7" t="s">
        <v>1</v>
      </c>
      <c r="J3" s="5" t="s">
        <v>4</v>
      </c>
      <c r="K3" s="5" t="s">
        <v>3</v>
      </c>
      <c r="L3" s="5" t="s">
        <v>5</v>
      </c>
      <c r="M3" s="5" t="s">
        <v>3</v>
      </c>
      <c r="N3" s="5" t="s">
        <v>6</v>
      </c>
      <c r="O3" s="5" t="s">
        <v>3</v>
      </c>
      <c r="P3" s="5" t="s">
        <v>7</v>
      </c>
      <c r="Q3" s="5" t="s">
        <v>3</v>
      </c>
    </row>
    <row r="4" ht="15.75" customHeight="1">
      <c r="A4" s="5">
        <v>1.0</v>
      </c>
      <c r="B4" s="4">
        <v>140.0</v>
      </c>
      <c r="C4" s="4"/>
      <c r="D4" s="4"/>
      <c r="E4" s="4"/>
      <c r="F4" s="4"/>
      <c r="G4" s="4"/>
      <c r="H4" s="7">
        <v>1.0</v>
      </c>
      <c r="I4" s="6">
        <v>140.0</v>
      </c>
      <c r="J4" s="4"/>
      <c r="K4" s="4"/>
      <c r="L4" s="4"/>
      <c r="M4" s="4"/>
      <c r="N4" s="4"/>
      <c r="O4" s="4"/>
      <c r="P4" s="4"/>
      <c r="Q4" s="4"/>
    </row>
    <row r="5" ht="15.75" customHeight="1">
      <c r="A5" s="5">
        <v>2.0</v>
      </c>
      <c r="B5" s="4">
        <v>155.0</v>
      </c>
      <c r="C5" s="4">
        <v>140.0</v>
      </c>
      <c r="D5" s="4">
        <f t="shared" ref="D5:D23" si="1">ABS(B5-C5)</f>
        <v>15</v>
      </c>
      <c r="E5" s="4"/>
      <c r="F5" s="4"/>
      <c r="G5" s="4"/>
      <c r="H5" s="7">
        <v>2.0</v>
      </c>
      <c r="I5" s="6">
        <v>155.0</v>
      </c>
      <c r="J5" s="4"/>
      <c r="K5" s="4"/>
      <c r="L5" s="4"/>
      <c r="M5" s="4"/>
      <c r="N5" s="4"/>
      <c r="O5" s="4"/>
      <c r="P5" s="4"/>
      <c r="Q5" s="4"/>
    </row>
    <row r="6" ht="15.75" customHeight="1">
      <c r="A6" s="5">
        <v>3.0</v>
      </c>
      <c r="B6" s="4">
        <v>145.0</v>
      </c>
      <c r="C6" s="4">
        <v>155.0</v>
      </c>
      <c r="D6" s="4">
        <f t="shared" si="1"/>
        <v>10</v>
      </c>
      <c r="E6" s="4"/>
      <c r="F6" s="4"/>
      <c r="G6" s="4"/>
      <c r="H6" s="7">
        <v>3.0</v>
      </c>
      <c r="I6" s="6">
        <v>145.0</v>
      </c>
      <c r="J6" s="4">
        <f t="shared" ref="J6:J24" si="2">SUM(I4:I5)/2</f>
        <v>147.5</v>
      </c>
      <c r="K6" s="4">
        <f t="shared" ref="K6:K23" si="3">ABS(I6-J6)</f>
        <v>2.5</v>
      </c>
      <c r="L6" s="4"/>
      <c r="M6" s="4"/>
      <c r="N6" s="4"/>
      <c r="O6" s="4"/>
      <c r="P6" s="4"/>
      <c r="Q6" s="4"/>
    </row>
    <row r="7" ht="15.75" customHeight="1">
      <c r="A7" s="5">
        <v>4.0</v>
      </c>
      <c r="B7" s="4">
        <v>152.0</v>
      </c>
      <c r="C7" s="4">
        <v>145.0</v>
      </c>
      <c r="D7" s="4">
        <f t="shared" si="1"/>
        <v>7</v>
      </c>
      <c r="E7" s="4"/>
      <c r="F7" s="4"/>
      <c r="G7" s="4"/>
      <c r="H7" s="7">
        <v>4.0</v>
      </c>
      <c r="I7" s="6">
        <v>152.0</v>
      </c>
      <c r="J7" s="4">
        <f t="shared" si="2"/>
        <v>150</v>
      </c>
      <c r="K7" s="4">
        <f t="shared" si="3"/>
        <v>2</v>
      </c>
      <c r="L7" s="4">
        <f t="shared" ref="L7:L24" si="4">AVERAGE(I4:I6)</f>
        <v>146.6666667</v>
      </c>
      <c r="M7" s="4">
        <f t="shared" ref="M7:M23" si="5">ABS(I7-L7)</f>
        <v>5.333333333</v>
      </c>
      <c r="N7" s="4"/>
      <c r="O7" s="4"/>
      <c r="P7" s="4"/>
      <c r="Q7" s="4"/>
    </row>
    <row r="8" ht="15.75" customHeight="1">
      <c r="A8" s="5">
        <v>5.0</v>
      </c>
      <c r="B8" s="4">
        <v>155.0</v>
      </c>
      <c r="C8" s="4">
        <v>152.0</v>
      </c>
      <c r="D8" s="4">
        <f t="shared" si="1"/>
        <v>3</v>
      </c>
      <c r="E8" s="4"/>
      <c r="F8" s="4"/>
      <c r="G8" s="4"/>
      <c r="H8" s="7">
        <v>5.0</v>
      </c>
      <c r="I8" s="6">
        <v>155.0</v>
      </c>
      <c r="J8" s="4">
        <f t="shared" si="2"/>
        <v>148.5</v>
      </c>
      <c r="K8" s="4">
        <f t="shared" si="3"/>
        <v>6.5</v>
      </c>
      <c r="L8" s="4">
        <f t="shared" si="4"/>
        <v>150.6666667</v>
      </c>
      <c r="M8" s="4">
        <f t="shared" si="5"/>
        <v>4.333333333</v>
      </c>
      <c r="N8" s="4">
        <f t="shared" ref="N8:N24" si="6">AVERAGE(I4:I7)</f>
        <v>148</v>
      </c>
      <c r="O8" s="4">
        <f t="shared" ref="O8:O23" si="7">ABS(I8-N8)</f>
        <v>7</v>
      </c>
      <c r="P8" s="4"/>
      <c r="Q8" s="4"/>
    </row>
    <row r="9" ht="15.75" customHeight="1">
      <c r="A9" s="5">
        <v>6.0</v>
      </c>
      <c r="B9" s="4">
        <v>145.0</v>
      </c>
      <c r="C9" s="4">
        <v>155.0</v>
      </c>
      <c r="D9" s="4">
        <f t="shared" si="1"/>
        <v>10</v>
      </c>
      <c r="E9" s="4"/>
      <c r="F9" s="4"/>
      <c r="G9" s="4"/>
      <c r="H9" s="7">
        <v>6.0</v>
      </c>
      <c r="I9" s="6">
        <v>145.0</v>
      </c>
      <c r="J9" s="4">
        <f t="shared" si="2"/>
        <v>153.5</v>
      </c>
      <c r="K9" s="4">
        <f t="shared" si="3"/>
        <v>8.5</v>
      </c>
      <c r="L9" s="4">
        <f t="shared" si="4"/>
        <v>150.6666667</v>
      </c>
      <c r="M9" s="4">
        <f t="shared" si="5"/>
        <v>5.666666667</v>
      </c>
      <c r="N9" s="4">
        <f t="shared" si="6"/>
        <v>151.75</v>
      </c>
      <c r="O9" s="4">
        <f t="shared" si="7"/>
        <v>6.75</v>
      </c>
      <c r="P9" s="4">
        <f t="shared" ref="P9:P24" si="8">AVERAGE(I4:I8)</f>
        <v>149.4</v>
      </c>
      <c r="Q9" s="4">
        <f t="shared" ref="Q9:Q23" si="9">ABS(I9-P9)</f>
        <v>4.4</v>
      </c>
    </row>
    <row r="10" ht="15.75" customHeight="1">
      <c r="A10" s="5">
        <v>7.0</v>
      </c>
      <c r="B10" s="4">
        <v>147.0</v>
      </c>
      <c r="C10" s="4">
        <v>145.0</v>
      </c>
      <c r="D10" s="4">
        <f t="shared" si="1"/>
        <v>2</v>
      </c>
      <c r="E10" s="4"/>
      <c r="F10" s="4"/>
      <c r="G10" s="4"/>
      <c r="H10" s="7">
        <v>7.0</v>
      </c>
      <c r="I10" s="6">
        <v>147.0</v>
      </c>
      <c r="J10" s="4">
        <f t="shared" si="2"/>
        <v>150</v>
      </c>
      <c r="K10" s="4">
        <f t="shared" si="3"/>
        <v>3</v>
      </c>
      <c r="L10" s="4">
        <f t="shared" si="4"/>
        <v>150.6666667</v>
      </c>
      <c r="M10" s="4">
        <f t="shared" si="5"/>
        <v>3.666666667</v>
      </c>
      <c r="N10" s="4">
        <f t="shared" si="6"/>
        <v>149.25</v>
      </c>
      <c r="O10" s="4">
        <f t="shared" si="7"/>
        <v>2.25</v>
      </c>
      <c r="P10" s="4">
        <f t="shared" si="8"/>
        <v>150.4</v>
      </c>
      <c r="Q10" s="4">
        <f t="shared" si="9"/>
        <v>3.4</v>
      </c>
    </row>
    <row r="11" ht="15.75" customHeight="1">
      <c r="A11" s="5">
        <v>8.0</v>
      </c>
      <c r="B11" s="4">
        <v>135.0</v>
      </c>
      <c r="C11" s="4">
        <v>147.0</v>
      </c>
      <c r="D11" s="4">
        <f t="shared" si="1"/>
        <v>12</v>
      </c>
      <c r="E11" s="4"/>
      <c r="F11" s="4"/>
      <c r="G11" s="4"/>
      <c r="H11" s="7">
        <v>8.0</v>
      </c>
      <c r="I11" s="6">
        <v>135.0</v>
      </c>
      <c r="J11" s="4">
        <f t="shared" si="2"/>
        <v>146</v>
      </c>
      <c r="K11" s="4">
        <f t="shared" si="3"/>
        <v>11</v>
      </c>
      <c r="L11" s="4">
        <f t="shared" si="4"/>
        <v>149</v>
      </c>
      <c r="M11" s="4">
        <f t="shared" si="5"/>
        <v>14</v>
      </c>
      <c r="N11" s="4">
        <f t="shared" si="6"/>
        <v>149.75</v>
      </c>
      <c r="O11" s="4">
        <f t="shared" si="7"/>
        <v>14.75</v>
      </c>
      <c r="P11" s="4">
        <f t="shared" si="8"/>
        <v>148.8</v>
      </c>
      <c r="Q11" s="4">
        <f t="shared" si="9"/>
        <v>13.8</v>
      </c>
    </row>
    <row r="12" ht="15.75" customHeight="1">
      <c r="A12" s="5">
        <v>9.0</v>
      </c>
      <c r="B12" s="4">
        <v>137.0</v>
      </c>
      <c r="C12" s="4">
        <v>135.0</v>
      </c>
      <c r="D12" s="4">
        <f t="shared" si="1"/>
        <v>2</v>
      </c>
      <c r="E12" s="4"/>
      <c r="F12" s="4"/>
      <c r="G12" s="4"/>
      <c r="H12" s="7">
        <v>9.0</v>
      </c>
      <c r="I12" s="6">
        <v>137.0</v>
      </c>
      <c r="J12" s="4">
        <f t="shared" si="2"/>
        <v>141</v>
      </c>
      <c r="K12" s="4">
        <f t="shared" si="3"/>
        <v>4</v>
      </c>
      <c r="L12" s="4">
        <f t="shared" si="4"/>
        <v>142.3333333</v>
      </c>
      <c r="M12" s="4">
        <f t="shared" si="5"/>
        <v>5.333333333</v>
      </c>
      <c r="N12" s="4">
        <f t="shared" si="6"/>
        <v>145.5</v>
      </c>
      <c r="O12" s="4">
        <f t="shared" si="7"/>
        <v>8.5</v>
      </c>
      <c r="P12" s="4">
        <f t="shared" si="8"/>
        <v>146.8</v>
      </c>
      <c r="Q12" s="4">
        <f t="shared" si="9"/>
        <v>9.8</v>
      </c>
    </row>
    <row r="13" ht="15.75" customHeight="1">
      <c r="A13" s="5">
        <v>10.0</v>
      </c>
      <c r="B13" s="4">
        <v>140.0</v>
      </c>
      <c r="C13" s="4">
        <v>137.0</v>
      </c>
      <c r="D13" s="4">
        <f t="shared" si="1"/>
        <v>3</v>
      </c>
      <c r="E13" s="5"/>
      <c r="F13" s="4"/>
      <c r="G13" s="5"/>
      <c r="H13" s="7">
        <v>10.0</v>
      </c>
      <c r="I13" s="6">
        <v>140.0</v>
      </c>
      <c r="J13" s="4">
        <f t="shared" si="2"/>
        <v>136</v>
      </c>
      <c r="K13" s="4">
        <f t="shared" si="3"/>
        <v>4</v>
      </c>
      <c r="L13" s="4">
        <f t="shared" si="4"/>
        <v>139.6666667</v>
      </c>
      <c r="M13" s="4">
        <f t="shared" si="5"/>
        <v>0.3333333333</v>
      </c>
      <c r="N13" s="4">
        <f t="shared" si="6"/>
        <v>141</v>
      </c>
      <c r="O13" s="4">
        <f t="shared" si="7"/>
        <v>1</v>
      </c>
      <c r="P13" s="4">
        <f t="shared" si="8"/>
        <v>143.8</v>
      </c>
      <c r="Q13" s="4">
        <f t="shared" si="9"/>
        <v>3.8</v>
      </c>
    </row>
    <row r="14" ht="15.75" customHeight="1">
      <c r="A14" s="5">
        <v>11.0</v>
      </c>
      <c r="B14" s="4">
        <v>120.0</v>
      </c>
      <c r="C14" s="4">
        <v>140.0</v>
      </c>
      <c r="D14" s="4">
        <f t="shared" si="1"/>
        <v>20</v>
      </c>
      <c r="E14" s="4"/>
      <c r="F14" s="4"/>
      <c r="G14" s="4"/>
      <c r="H14" s="8">
        <v>11.0</v>
      </c>
      <c r="I14" s="9">
        <v>120.0</v>
      </c>
      <c r="J14" s="10">
        <f t="shared" si="2"/>
        <v>138.5</v>
      </c>
      <c r="K14" s="10">
        <f t="shared" si="3"/>
        <v>18.5</v>
      </c>
      <c r="L14" s="10">
        <f t="shared" si="4"/>
        <v>137.3333333</v>
      </c>
      <c r="M14" s="10">
        <f t="shared" si="5"/>
        <v>17.33333333</v>
      </c>
      <c r="N14" s="10">
        <f t="shared" si="6"/>
        <v>139.75</v>
      </c>
      <c r="O14" s="10">
        <f t="shared" si="7"/>
        <v>19.75</v>
      </c>
      <c r="P14" s="10">
        <f t="shared" si="8"/>
        <v>140.8</v>
      </c>
      <c r="Q14" s="10">
        <f t="shared" si="9"/>
        <v>20.8</v>
      </c>
    </row>
    <row r="15" ht="15.75" customHeight="1">
      <c r="A15" s="5">
        <v>12.0</v>
      </c>
      <c r="B15" s="4">
        <v>150.0</v>
      </c>
      <c r="C15" s="4">
        <v>120.0</v>
      </c>
      <c r="D15" s="4">
        <f t="shared" si="1"/>
        <v>30</v>
      </c>
      <c r="E15" s="4"/>
      <c r="F15" s="4"/>
      <c r="G15" s="4"/>
      <c r="H15" s="7">
        <v>12.0</v>
      </c>
      <c r="I15" s="6">
        <v>150.0</v>
      </c>
      <c r="J15" s="4">
        <f t="shared" si="2"/>
        <v>130</v>
      </c>
      <c r="K15" s="4">
        <f t="shared" si="3"/>
        <v>20</v>
      </c>
      <c r="L15" s="4">
        <f t="shared" si="4"/>
        <v>132.3333333</v>
      </c>
      <c r="M15" s="4">
        <f t="shared" si="5"/>
        <v>17.66666667</v>
      </c>
      <c r="N15" s="4">
        <f t="shared" si="6"/>
        <v>133</v>
      </c>
      <c r="O15" s="4">
        <f t="shared" si="7"/>
        <v>17</v>
      </c>
      <c r="P15" s="4">
        <f t="shared" si="8"/>
        <v>135.8</v>
      </c>
      <c r="Q15" s="4">
        <f t="shared" si="9"/>
        <v>14.2</v>
      </c>
    </row>
    <row r="16" ht="15.75" customHeight="1">
      <c r="A16" s="5">
        <v>13.0</v>
      </c>
      <c r="B16" s="4">
        <v>161.0</v>
      </c>
      <c r="C16" s="4">
        <v>150.0</v>
      </c>
      <c r="D16" s="4">
        <f t="shared" si="1"/>
        <v>11</v>
      </c>
      <c r="E16" s="4"/>
      <c r="F16" s="4"/>
      <c r="G16" s="4"/>
      <c r="H16" s="7">
        <v>13.0</v>
      </c>
      <c r="I16" s="6">
        <v>161.0</v>
      </c>
      <c r="J16" s="4">
        <f t="shared" si="2"/>
        <v>135</v>
      </c>
      <c r="K16" s="4">
        <f t="shared" si="3"/>
        <v>26</v>
      </c>
      <c r="L16" s="4">
        <f t="shared" si="4"/>
        <v>136.6666667</v>
      </c>
      <c r="M16" s="4">
        <f t="shared" si="5"/>
        <v>24.33333333</v>
      </c>
      <c r="N16" s="4">
        <f t="shared" si="6"/>
        <v>136.75</v>
      </c>
      <c r="O16" s="4">
        <f t="shared" si="7"/>
        <v>24.25</v>
      </c>
      <c r="P16" s="4">
        <f t="shared" si="8"/>
        <v>136.4</v>
      </c>
      <c r="Q16" s="4">
        <f t="shared" si="9"/>
        <v>24.6</v>
      </c>
    </row>
    <row r="17" ht="15.75" customHeight="1">
      <c r="A17" s="5">
        <v>14.0</v>
      </c>
      <c r="B17" s="4">
        <v>143.0</v>
      </c>
      <c r="C17" s="4">
        <v>161.0</v>
      </c>
      <c r="D17" s="4">
        <f t="shared" si="1"/>
        <v>18</v>
      </c>
      <c r="E17" s="4"/>
      <c r="F17" s="4"/>
      <c r="G17" s="4"/>
      <c r="H17" s="7">
        <v>14.0</v>
      </c>
      <c r="I17" s="6">
        <v>143.0</v>
      </c>
      <c r="J17" s="4">
        <f t="shared" si="2"/>
        <v>155.5</v>
      </c>
      <c r="K17" s="4">
        <f t="shared" si="3"/>
        <v>12.5</v>
      </c>
      <c r="L17" s="4">
        <f t="shared" si="4"/>
        <v>143.6666667</v>
      </c>
      <c r="M17" s="4">
        <f t="shared" si="5"/>
        <v>0.6666666667</v>
      </c>
      <c r="N17" s="4">
        <f t="shared" si="6"/>
        <v>142.75</v>
      </c>
      <c r="O17" s="4">
        <f t="shared" si="7"/>
        <v>0.25</v>
      </c>
      <c r="P17" s="4">
        <f t="shared" si="8"/>
        <v>141.6</v>
      </c>
      <c r="Q17" s="4">
        <f t="shared" si="9"/>
        <v>1.4</v>
      </c>
    </row>
    <row r="18" ht="15.75" customHeight="1">
      <c r="A18" s="5">
        <v>15.0</v>
      </c>
      <c r="B18" s="4">
        <v>149.0</v>
      </c>
      <c r="C18" s="4">
        <v>143.0</v>
      </c>
      <c r="D18" s="4">
        <f t="shared" si="1"/>
        <v>6</v>
      </c>
      <c r="E18" s="4"/>
      <c r="F18" s="4"/>
      <c r="G18" s="4"/>
      <c r="H18" s="7">
        <v>15.0</v>
      </c>
      <c r="I18" s="6">
        <v>149.0</v>
      </c>
      <c r="J18" s="4">
        <f t="shared" si="2"/>
        <v>152</v>
      </c>
      <c r="K18" s="4">
        <f t="shared" si="3"/>
        <v>3</v>
      </c>
      <c r="L18" s="4">
        <f t="shared" si="4"/>
        <v>151.3333333</v>
      </c>
      <c r="M18" s="4">
        <f t="shared" si="5"/>
        <v>2.333333333</v>
      </c>
      <c r="N18" s="4">
        <f t="shared" si="6"/>
        <v>143.5</v>
      </c>
      <c r="O18" s="4">
        <f t="shared" si="7"/>
        <v>5.5</v>
      </c>
      <c r="P18" s="4">
        <f t="shared" si="8"/>
        <v>142.8</v>
      </c>
      <c r="Q18" s="4">
        <f t="shared" si="9"/>
        <v>6.2</v>
      </c>
    </row>
    <row r="19" ht="15.75" customHeight="1">
      <c r="A19" s="5">
        <v>16.0</v>
      </c>
      <c r="B19" s="4">
        <v>140.0</v>
      </c>
      <c r="C19" s="4">
        <v>149.0</v>
      </c>
      <c r="D19" s="4">
        <f t="shared" si="1"/>
        <v>9</v>
      </c>
      <c r="E19" s="4"/>
      <c r="F19" s="4"/>
      <c r="G19" s="4"/>
      <c r="H19" s="7">
        <v>16.0</v>
      </c>
      <c r="I19" s="6">
        <v>140.0</v>
      </c>
      <c r="J19" s="4">
        <f t="shared" si="2"/>
        <v>146</v>
      </c>
      <c r="K19" s="4">
        <f t="shared" si="3"/>
        <v>6</v>
      </c>
      <c r="L19" s="4">
        <f t="shared" si="4"/>
        <v>151</v>
      </c>
      <c r="M19" s="4">
        <f t="shared" si="5"/>
        <v>11</v>
      </c>
      <c r="N19" s="4">
        <f t="shared" si="6"/>
        <v>150.75</v>
      </c>
      <c r="O19" s="4">
        <f t="shared" si="7"/>
        <v>10.75</v>
      </c>
      <c r="P19" s="4">
        <f t="shared" si="8"/>
        <v>144.6</v>
      </c>
      <c r="Q19" s="4">
        <f t="shared" si="9"/>
        <v>4.6</v>
      </c>
    </row>
    <row r="20" ht="15.75" customHeight="1">
      <c r="A20" s="5">
        <v>17.0</v>
      </c>
      <c r="B20" s="4">
        <v>142.0</v>
      </c>
      <c r="C20" s="4">
        <v>140.0</v>
      </c>
      <c r="D20" s="4">
        <f t="shared" si="1"/>
        <v>2</v>
      </c>
      <c r="E20" s="4"/>
      <c r="F20" s="4"/>
      <c r="G20" s="4"/>
      <c r="H20" s="7">
        <v>17.0</v>
      </c>
      <c r="I20" s="6">
        <v>142.0</v>
      </c>
      <c r="J20" s="4">
        <f t="shared" si="2"/>
        <v>144.5</v>
      </c>
      <c r="K20" s="4">
        <f t="shared" si="3"/>
        <v>2.5</v>
      </c>
      <c r="L20" s="4">
        <f t="shared" si="4"/>
        <v>144</v>
      </c>
      <c r="M20" s="4">
        <f t="shared" si="5"/>
        <v>2</v>
      </c>
      <c r="N20" s="4">
        <f t="shared" si="6"/>
        <v>148.25</v>
      </c>
      <c r="O20" s="4">
        <f t="shared" si="7"/>
        <v>6.25</v>
      </c>
      <c r="P20" s="4">
        <f t="shared" si="8"/>
        <v>148.6</v>
      </c>
      <c r="Q20" s="4">
        <f t="shared" si="9"/>
        <v>6.6</v>
      </c>
    </row>
    <row r="21" ht="15.75" customHeight="1">
      <c r="A21" s="5">
        <v>18.0</v>
      </c>
      <c r="B21" s="4">
        <v>157.0</v>
      </c>
      <c r="C21" s="4">
        <v>142.0</v>
      </c>
      <c r="D21" s="4">
        <f t="shared" si="1"/>
        <v>15</v>
      </c>
      <c r="E21" s="4"/>
      <c r="F21" s="4"/>
      <c r="G21" s="4"/>
      <c r="H21" s="7">
        <v>18.0</v>
      </c>
      <c r="I21" s="6">
        <v>157.0</v>
      </c>
      <c r="J21" s="4">
        <f t="shared" si="2"/>
        <v>141</v>
      </c>
      <c r="K21" s="4">
        <f t="shared" si="3"/>
        <v>16</v>
      </c>
      <c r="L21" s="4">
        <f t="shared" si="4"/>
        <v>143.6666667</v>
      </c>
      <c r="M21" s="4">
        <f t="shared" si="5"/>
        <v>13.33333333</v>
      </c>
      <c r="N21" s="4">
        <f t="shared" si="6"/>
        <v>143.5</v>
      </c>
      <c r="O21" s="4">
        <f t="shared" si="7"/>
        <v>13.5</v>
      </c>
      <c r="P21" s="4">
        <f t="shared" si="8"/>
        <v>147</v>
      </c>
      <c r="Q21" s="4">
        <f t="shared" si="9"/>
        <v>10</v>
      </c>
    </row>
    <row r="22" ht="15.75" customHeight="1">
      <c r="A22" s="5">
        <v>19.0</v>
      </c>
      <c r="B22" s="4">
        <v>148.0</v>
      </c>
      <c r="C22" s="4">
        <v>157.0</v>
      </c>
      <c r="D22" s="4">
        <f t="shared" si="1"/>
        <v>9</v>
      </c>
      <c r="E22" s="4"/>
      <c r="F22" s="4"/>
      <c r="G22" s="4"/>
      <c r="H22" s="7">
        <v>19.0</v>
      </c>
      <c r="I22" s="6">
        <v>148.0</v>
      </c>
      <c r="J22" s="4">
        <f t="shared" si="2"/>
        <v>149.5</v>
      </c>
      <c r="K22" s="4">
        <f t="shared" si="3"/>
        <v>1.5</v>
      </c>
      <c r="L22" s="4">
        <f t="shared" si="4"/>
        <v>146.3333333</v>
      </c>
      <c r="M22" s="4">
        <f t="shared" si="5"/>
        <v>1.666666667</v>
      </c>
      <c r="N22" s="4">
        <f t="shared" si="6"/>
        <v>147</v>
      </c>
      <c r="O22" s="4">
        <f t="shared" si="7"/>
        <v>1</v>
      </c>
      <c r="P22" s="4">
        <f t="shared" si="8"/>
        <v>146.2</v>
      </c>
      <c r="Q22" s="4">
        <f t="shared" si="9"/>
        <v>1.8</v>
      </c>
    </row>
    <row r="23" ht="15.75" customHeight="1">
      <c r="A23" s="5">
        <v>20.0</v>
      </c>
      <c r="B23" s="4">
        <v>144.0</v>
      </c>
      <c r="C23" s="4">
        <v>148.0</v>
      </c>
      <c r="D23" s="4">
        <f t="shared" si="1"/>
        <v>4</v>
      </c>
      <c r="E23" s="5" t="s">
        <v>8</v>
      </c>
      <c r="F23" s="4">
        <f>AVERAGE(D14:D23)</f>
        <v>12.4</v>
      </c>
      <c r="G23" s="5" t="s">
        <v>8</v>
      </c>
      <c r="H23" s="7">
        <v>20.0</v>
      </c>
      <c r="I23" s="6">
        <v>144.0</v>
      </c>
      <c r="J23" s="4">
        <f t="shared" si="2"/>
        <v>152.5</v>
      </c>
      <c r="K23" s="4">
        <f t="shared" si="3"/>
        <v>8.5</v>
      </c>
      <c r="L23" s="4">
        <f t="shared" si="4"/>
        <v>149</v>
      </c>
      <c r="M23" s="4">
        <f t="shared" si="5"/>
        <v>5</v>
      </c>
      <c r="N23" s="4">
        <f t="shared" si="6"/>
        <v>146.75</v>
      </c>
      <c r="O23" s="4">
        <f t="shared" si="7"/>
        <v>2.75</v>
      </c>
      <c r="P23" s="4">
        <f t="shared" si="8"/>
        <v>147.2</v>
      </c>
      <c r="Q23" s="4">
        <f t="shared" si="9"/>
        <v>3.2</v>
      </c>
    </row>
    <row r="24" ht="15.75" customHeight="1">
      <c r="A24" s="5" t="s">
        <v>8</v>
      </c>
      <c r="B24" s="4"/>
      <c r="C24" s="4">
        <v>144.0</v>
      </c>
      <c r="D24" s="4"/>
      <c r="E24" s="4"/>
      <c r="F24" s="4"/>
      <c r="G24" s="4">
        <f>AVERAGE(K14:K23)</f>
        <v>11.45</v>
      </c>
      <c r="H24" s="4"/>
      <c r="I24" s="4"/>
      <c r="J24" s="4">
        <f t="shared" si="2"/>
        <v>146</v>
      </c>
      <c r="K24" s="4"/>
      <c r="L24" s="4">
        <f t="shared" si="4"/>
        <v>149.6666667</v>
      </c>
      <c r="M24" s="4"/>
      <c r="N24" s="4">
        <f t="shared" si="6"/>
        <v>147.75</v>
      </c>
      <c r="O24" s="4"/>
      <c r="P24" s="4">
        <f t="shared" si="8"/>
        <v>146.2</v>
      </c>
      <c r="Q24" s="4"/>
    </row>
    <row r="25" ht="15.75" customHeight="1">
      <c r="A25" s="11" t="s">
        <v>9</v>
      </c>
      <c r="B25" s="12">
        <v>10.0</v>
      </c>
    </row>
    <row r="26" ht="15.75" customHeight="1">
      <c r="C26" s="11"/>
      <c r="J26" s="11"/>
      <c r="M26" s="11"/>
      <c r="O26" s="11"/>
      <c r="Q26" s="11" t="s">
        <v>8</v>
      </c>
      <c r="R26" s="13">
        <f>AVERAGE(Q14:Q23)</f>
        <v>9.34</v>
      </c>
    </row>
    <row r="27" ht="15.75" customHeight="1">
      <c r="M27" s="11"/>
    </row>
    <row r="28" ht="15.75" customHeight="1"/>
    <row r="29" ht="15.75" customHeight="1">
      <c r="E29" s="11" t="s">
        <v>10</v>
      </c>
      <c r="G29" s="14">
        <v>10.0</v>
      </c>
      <c r="J29" s="11" t="s">
        <v>8</v>
      </c>
      <c r="K29" s="13">
        <f>AVERAGE(K14:K23)</f>
        <v>11.45</v>
      </c>
      <c r="M29" s="11" t="s">
        <v>8</v>
      </c>
      <c r="N29" s="13">
        <f>AVERAGE(M14:M23)</f>
        <v>9.533333333</v>
      </c>
      <c r="O29" s="15" t="s">
        <v>8</v>
      </c>
      <c r="P29" s="13">
        <f>AVERAGE(O14:O23)</f>
        <v>10.1</v>
      </c>
    </row>
    <row r="30" ht="15.75" customHeight="1">
      <c r="B30" s="11" t="s">
        <v>1</v>
      </c>
      <c r="C30" s="11" t="s">
        <v>11</v>
      </c>
      <c r="D30" s="11" t="s">
        <v>3</v>
      </c>
      <c r="E30" s="11" t="s">
        <v>12</v>
      </c>
      <c r="F30" s="13">
        <v>0.5</v>
      </c>
      <c r="G30" s="11" t="s">
        <v>3</v>
      </c>
      <c r="K30" s="16" t="s">
        <v>13</v>
      </c>
      <c r="L30" s="17">
        <v>0.1</v>
      </c>
    </row>
    <row r="31" ht="15.75" customHeight="1">
      <c r="A31" s="11">
        <v>1.0</v>
      </c>
      <c r="B31" s="13">
        <v>140.0</v>
      </c>
      <c r="C31" s="13">
        <v>140.0</v>
      </c>
      <c r="D31" s="13">
        <f t="shared" ref="D31:D50" si="10">ABS(B31-C31)</f>
        <v>0</v>
      </c>
      <c r="E31" s="13">
        <v>140.0</v>
      </c>
      <c r="G31" s="13">
        <f t="shared" ref="G31:G50" si="11">ABS(B31-E31)</f>
        <v>0</v>
      </c>
    </row>
    <row r="32" ht="15.75" customHeight="1">
      <c r="A32" s="11">
        <v>2.0</v>
      </c>
      <c r="B32" s="13">
        <v>155.0</v>
      </c>
      <c r="C32" s="13">
        <f t="shared" ref="C32:C51" si="12">C31+$L$30*(B31-C31)</f>
        <v>140</v>
      </c>
      <c r="D32" s="13">
        <f t="shared" si="10"/>
        <v>15</v>
      </c>
      <c r="E32" s="13">
        <f t="shared" ref="E32:E51" si="13">C31+$F$30*(B31-C31)</f>
        <v>140</v>
      </c>
      <c r="G32" s="13">
        <f t="shared" si="11"/>
        <v>15</v>
      </c>
    </row>
    <row r="33" ht="15.75" customHeight="1">
      <c r="A33" s="11">
        <v>3.0</v>
      </c>
      <c r="B33" s="13">
        <v>145.0</v>
      </c>
      <c r="C33" s="13">
        <f t="shared" si="12"/>
        <v>141.5</v>
      </c>
      <c r="D33" s="13">
        <f t="shared" si="10"/>
        <v>3.5</v>
      </c>
      <c r="E33" s="13">
        <f t="shared" si="13"/>
        <v>147.5</v>
      </c>
      <c r="G33" s="13">
        <f t="shared" si="11"/>
        <v>2.5</v>
      </c>
    </row>
    <row r="34" ht="15.75" customHeight="1">
      <c r="A34" s="11">
        <v>4.0</v>
      </c>
      <c r="B34" s="13">
        <v>152.0</v>
      </c>
      <c r="C34" s="13">
        <f t="shared" si="12"/>
        <v>141.85</v>
      </c>
      <c r="D34" s="13">
        <f t="shared" si="10"/>
        <v>10.15</v>
      </c>
      <c r="E34" s="13">
        <f t="shared" si="13"/>
        <v>143.25</v>
      </c>
      <c r="G34" s="13">
        <f t="shared" si="11"/>
        <v>8.75</v>
      </c>
      <c r="Q34" s="18" t="s">
        <v>14</v>
      </c>
      <c r="R34" s="18" t="s">
        <v>15</v>
      </c>
      <c r="S34" s="18" t="s">
        <v>16</v>
      </c>
      <c r="T34" s="18" t="s">
        <v>17</v>
      </c>
      <c r="U34" s="19"/>
    </row>
    <row r="35" ht="15.75" customHeight="1">
      <c r="A35" s="11">
        <v>5.0</v>
      </c>
      <c r="B35" s="13">
        <v>155.0</v>
      </c>
      <c r="C35" s="13">
        <f t="shared" si="12"/>
        <v>142.865</v>
      </c>
      <c r="D35" s="13">
        <f t="shared" si="10"/>
        <v>12.135</v>
      </c>
      <c r="E35" s="13">
        <f t="shared" si="13"/>
        <v>146.925</v>
      </c>
      <c r="G35" s="13">
        <f t="shared" si="11"/>
        <v>8.075</v>
      </c>
      <c r="Q35" s="20">
        <v>1.0</v>
      </c>
      <c r="R35" s="21">
        <v>145.0</v>
      </c>
      <c r="S35" s="21">
        <v>147.0</v>
      </c>
      <c r="T35" s="21">
        <v>146.0</v>
      </c>
    </row>
    <row r="36" ht="15.75" customHeight="1">
      <c r="A36" s="11">
        <v>6.0</v>
      </c>
      <c r="B36" s="13">
        <v>145.0</v>
      </c>
      <c r="C36" s="13">
        <f t="shared" si="12"/>
        <v>144.0785</v>
      </c>
      <c r="D36" s="13">
        <f t="shared" si="10"/>
        <v>0.9215</v>
      </c>
      <c r="E36" s="13">
        <f t="shared" si="13"/>
        <v>148.9325</v>
      </c>
      <c r="G36" s="13">
        <f t="shared" si="11"/>
        <v>3.9325</v>
      </c>
      <c r="Q36" s="20">
        <v>2.0</v>
      </c>
      <c r="R36" s="21">
        <v>164.0</v>
      </c>
      <c r="S36" s="21">
        <v>162.0</v>
      </c>
      <c r="T36" s="21">
        <v>160.0</v>
      </c>
    </row>
    <row r="37" ht="15.75" customHeight="1">
      <c r="A37" s="11">
        <v>7.0</v>
      </c>
      <c r="B37" s="13">
        <v>147.0</v>
      </c>
      <c r="C37" s="13">
        <f t="shared" si="12"/>
        <v>144.17065</v>
      </c>
      <c r="D37" s="13">
        <f t="shared" si="10"/>
        <v>2.82935</v>
      </c>
      <c r="E37" s="13">
        <f t="shared" si="13"/>
        <v>144.53925</v>
      </c>
      <c r="G37" s="13">
        <f t="shared" si="11"/>
        <v>2.46075</v>
      </c>
      <c r="Q37" s="20">
        <v>3.0</v>
      </c>
      <c r="R37" s="21">
        <v>178.0</v>
      </c>
      <c r="S37" s="21">
        <v>180.0</v>
      </c>
      <c r="T37" s="21" t="s">
        <v>18</v>
      </c>
    </row>
    <row r="38" ht="15.75" customHeight="1">
      <c r="A38" s="11">
        <v>8.0</v>
      </c>
      <c r="B38" s="13">
        <v>135.0</v>
      </c>
      <c r="C38" s="13">
        <f t="shared" si="12"/>
        <v>144.453585</v>
      </c>
      <c r="D38" s="13">
        <f t="shared" si="10"/>
        <v>9.453585</v>
      </c>
      <c r="E38" s="13">
        <f t="shared" si="13"/>
        <v>145.585325</v>
      </c>
      <c r="G38" s="13">
        <f t="shared" si="11"/>
        <v>10.585325</v>
      </c>
      <c r="Q38" s="20">
        <v>4.0</v>
      </c>
      <c r="R38" s="21">
        <v>200.0</v>
      </c>
      <c r="S38" s="21">
        <v>199.0</v>
      </c>
      <c r="T38" s="21" t="s">
        <v>19</v>
      </c>
    </row>
    <row r="39" ht="15.75" customHeight="1">
      <c r="A39" s="11">
        <v>9.0</v>
      </c>
      <c r="B39" s="13">
        <v>137.0</v>
      </c>
      <c r="C39" s="13">
        <f t="shared" si="12"/>
        <v>143.5082265</v>
      </c>
      <c r="D39" s="13">
        <f t="shared" si="10"/>
        <v>6.5082265</v>
      </c>
      <c r="E39" s="13">
        <f t="shared" si="13"/>
        <v>139.7267925</v>
      </c>
      <c r="G39" s="13">
        <f t="shared" si="11"/>
        <v>2.7267925</v>
      </c>
      <c r="Q39" s="20">
        <v>5.0</v>
      </c>
      <c r="R39" s="21">
        <v>215.0</v>
      </c>
      <c r="S39" s="21">
        <v>220.0</v>
      </c>
      <c r="T39" s="21" t="s">
        <v>20</v>
      </c>
    </row>
    <row r="40" ht="15.75" customHeight="1">
      <c r="A40" s="11">
        <v>10.0</v>
      </c>
      <c r="B40" s="13">
        <v>140.0</v>
      </c>
      <c r="C40" s="13">
        <f t="shared" si="12"/>
        <v>142.8574039</v>
      </c>
      <c r="D40" s="13">
        <f t="shared" si="10"/>
        <v>2.85740385</v>
      </c>
      <c r="E40" s="13">
        <f t="shared" si="13"/>
        <v>140.2541133</v>
      </c>
      <c r="G40" s="13">
        <f t="shared" si="11"/>
        <v>0.25411325</v>
      </c>
      <c r="Q40" s="20">
        <v>6.0</v>
      </c>
      <c r="R40" s="21">
        <v>205.0</v>
      </c>
      <c r="S40" s="21">
        <v>208.0</v>
      </c>
      <c r="T40" s="21" t="s">
        <v>21</v>
      </c>
    </row>
    <row r="41" ht="15.75" customHeight="1">
      <c r="A41" s="22">
        <v>11.0</v>
      </c>
      <c r="B41" s="23">
        <v>120.0</v>
      </c>
      <c r="C41" s="23">
        <f t="shared" si="12"/>
        <v>142.5716635</v>
      </c>
      <c r="D41" s="23">
        <f t="shared" si="10"/>
        <v>22.57166347</v>
      </c>
      <c r="E41" s="23">
        <f t="shared" si="13"/>
        <v>141.4287019</v>
      </c>
      <c r="F41" s="23"/>
      <c r="G41" s="23">
        <f t="shared" si="11"/>
        <v>21.42870193</v>
      </c>
      <c r="Q41" s="20">
        <v>7.0</v>
      </c>
      <c r="R41" s="21">
        <v>170.0</v>
      </c>
      <c r="S41" s="21">
        <v>175.0</v>
      </c>
      <c r="T41" s="21" t="s">
        <v>22</v>
      </c>
    </row>
    <row r="42" ht="15.75" customHeight="1">
      <c r="A42" s="11">
        <v>12.0</v>
      </c>
      <c r="B42" s="13">
        <v>150.0</v>
      </c>
      <c r="C42" s="13">
        <f t="shared" si="12"/>
        <v>140.3144971</v>
      </c>
      <c r="D42" s="13">
        <f t="shared" si="10"/>
        <v>9.685502881</v>
      </c>
      <c r="E42" s="13">
        <f t="shared" si="13"/>
        <v>131.2858317</v>
      </c>
      <c r="G42" s="13">
        <f t="shared" si="11"/>
        <v>18.71416827</v>
      </c>
      <c r="Q42" s="20">
        <v>8.0</v>
      </c>
      <c r="R42" s="21">
        <v>142.0</v>
      </c>
      <c r="S42" s="21">
        <v>140.0</v>
      </c>
      <c r="T42" s="21"/>
    </row>
    <row r="43" ht="15.75" customHeight="1">
      <c r="A43" s="11">
        <v>13.0</v>
      </c>
      <c r="B43" s="13">
        <v>161.0</v>
      </c>
      <c r="C43" s="13">
        <f t="shared" si="12"/>
        <v>141.2830474</v>
      </c>
      <c r="D43" s="13">
        <f t="shared" si="10"/>
        <v>19.71695259</v>
      </c>
      <c r="E43" s="13">
        <f t="shared" si="13"/>
        <v>145.1572486</v>
      </c>
      <c r="G43" s="13">
        <f t="shared" si="11"/>
        <v>15.84275144</v>
      </c>
      <c r="Q43" s="20">
        <v>9.0</v>
      </c>
      <c r="R43" s="21">
        <v>119.0</v>
      </c>
      <c r="S43" s="21">
        <v>121.0</v>
      </c>
      <c r="T43" s="21"/>
    </row>
    <row r="44" ht="15.75" customHeight="1">
      <c r="A44" s="11">
        <v>14.0</v>
      </c>
      <c r="B44" s="13">
        <v>143.0</v>
      </c>
      <c r="C44" s="13">
        <f t="shared" si="12"/>
        <v>143.2547427</v>
      </c>
      <c r="D44" s="13">
        <f t="shared" si="10"/>
        <v>0.254742666</v>
      </c>
      <c r="E44" s="13">
        <f t="shared" si="13"/>
        <v>151.1415237</v>
      </c>
      <c r="G44" s="13">
        <f t="shared" si="11"/>
        <v>8.141523703</v>
      </c>
      <c r="Q44" s="21" t="s">
        <v>23</v>
      </c>
      <c r="R44" s="21">
        <f t="shared" ref="R44:S44" si="14">SUM(R35:R43)</f>
        <v>1538</v>
      </c>
      <c r="S44" s="21">
        <f t="shared" si="14"/>
        <v>1552</v>
      </c>
      <c r="T44" s="24">
        <v>1600.0</v>
      </c>
      <c r="U44" s="25" t="s">
        <v>24</v>
      </c>
    </row>
    <row r="45" ht="15.75" customHeight="1">
      <c r="A45" s="11">
        <v>15.0</v>
      </c>
      <c r="B45" s="13">
        <v>149.0</v>
      </c>
      <c r="C45" s="13">
        <f t="shared" si="12"/>
        <v>143.2292684</v>
      </c>
      <c r="D45" s="13">
        <f t="shared" si="10"/>
        <v>5.770731601</v>
      </c>
      <c r="E45" s="13">
        <f t="shared" si="13"/>
        <v>143.1273713</v>
      </c>
      <c r="G45" s="13">
        <f t="shared" si="11"/>
        <v>5.872628667</v>
      </c>
      <c r="Q45" s="21" t="s">
        <v>25</v>
      </c>
      <c r="R45" s="21">
        <f t="shared" ref="R45:S45" si="15">AVERAGE(R35:R43)</f>
        <v>170.8888889</v>
      </c>
      <c r="S45" s="21">
        <f t="shared" si="15"/>
        <v>172.4444444</v>
      </c>
      <c r="T45" s="21">
        <f>AVERAGE(T35:T36)</f>
        <v>153</v>
      </c>
    </row>
    <row r="46" ht="15.75" customHeight="1">
      <c r="A46" s="11">
        <v>16.0</v>
      </c>
      <c r="B46" s="13">
        <v>140.0</v>
      </c>
      <c r="C46" s="13">
        <f t="shared" si="12"/>
        <v>143.8063416</v>
      </c>
      <c r="D46" s="13">
        <f t="shared" si="10"/>
        <v>3.806341559</v>
      </c>
      <c r="E46" s="13">
        <f t="shared" si="13"/>
        <v>146.1146342</v>
      </c>
      <c r="G46" s="13">
        <f t="shared" si="11"/>
        <v>6.1146342</v>
      </c>
    </row>
    <row r="47" ht="15.75" customHeight="1">
      <c r="A47" s="11">
        <v>17.0</v>
      </c>
      <c r="B47" s="13">
        <v>142.0</v>
      </c>
      <c r="C47" s="13">
        <f t="shared" si="12"/>
        <v>143.4257074</v>
      </c>
      <c r="D47" s="13">
        <f t="shared" si="10"/>
        <v>1.425707404</v>
      </c>
      <c r="E47" s="13">
        <f t="shared" si="13"/>
        <v>141.9031708</v>
      </c>
      <c r="G47" s="13">
        <f t="shared" si="11"/>
        <v>0.09682922028</v>
      </c>
    </row>
    <row r="48" ht="15.75" customHeight="1">
      <c r="A48" s="11">
        <v>18.0</v>
      </c>
      <c r="B48" s="13">
        <v>157.0</v>
      </c>
      <c r="C48" s="13">
        <f t="shared" si="12"/>
        <v>143.2831367</v>
      </c>
      <c r="D48" s="13">
        <f t="shared" si="10"/>
        <v>13.71686334</v>
      </c>
      <c r="E48" s="13">
        <f t="shared" si="13"/>
        <v>142.7128537</v>
      </c>
      <c r="G48" s="13">
        <f t="shared" si="11"/>
        <v>14.2871463</v>
      </c>
    </row>
    <row r="49" ht="15.75" customHeight="1">
      <c r="A49" s="11">
        <v>19.0</v>
      </c>
      <c r="B49" s="13">
        <v>148.0</v>
      </c>
      <c r="C49" s="13">
        <f t="shared" si="12"/>
        <v>144.654823</v>
      </c>
      <c r="D49" s="13">
        <f t="shared" si="10"/>
        <v>3.345177003</v>
      </c>
      <c r="E49" s="13">
        <f t="shared" si="13"/>
        <v>150.1415683</v>
      </c>
      <c r="G49" s="13">
        <f t="shared" si="11"/>
        <v>2.141568332</v>
      </c>
    </row>
    <row r="50" ht="15.75" customHeight="1">
      <c r="A50" s="11">
        <v>20.0</v>
      </c>
      <c r="B50" s="13">
        <v>144.0</v>
      </c>
      <c r="C50" s="13">
        <f t="shared" si="12"/>
        <v>144.9893407</v>
      </c>
      <c r="D50" s="13">
        <f t="shared" si="10"/>
        <v>0.9893406972</v>
      </c>
      <c r="E50" s="13">
        <f t="shared" si="13"/>
        <v>146.3274115</v>
      </c>
      <c r="G50" s="13">
        <f t="shared" si="11"/>
        <v>2.327411498</v>
      </c>
    </row>
    <row r="51" ht="15.75" customHeight="1">
      <c r="A51" s="26">
        <v>21.0</v>
      </c>
      <c r="B51" s="27">
        <f>ROUNDUP(C51,0)</f>
        <v>145</v>
      </c>
      <c r="C51" s="27">
        <f t="shared" si="12"/>
        <v>144.8904066</v>
      </c>
      <c r="E51" s="13">
        <f t="shared" si="13"/>
        <v>144.4946703</v>
      </c>
      <c r="P51" s="28" t="s">
        <v>14</v>
      </c>
      <c r="Q51" s="28" t="s">
        <v>15</v>
      </c>
      <c r="R51" s="28" t="s">
        <v>16</v>
      </c>
      <c r="S51" s="28" t="s">
        <v>17</v>
      </c>
      <c r="T51" s="28" t="s">
        <v>26</v>
      </c>
      <c r="U51" s="28" t="s">
        <v>27</v>
      </c>
      <c r="V51" s="28" t="s">
        <v>28</v>
      </c>
    </row>
    <row r="52" ht="15.75" customHeight="1">
      <c r="A52" s="26">
        <v>22.0</v>
      </c>
      <c r="B52" s="27">
        <f>ROUNDUP(C51,0)</f>
        <v>145</v>
      </c>
      <c r="C52" s="27">
        <v>144.890407</v>
      </c>
      <c r="F52" s="11"/>
      <c r="P52" s="29"/>
      <c r="Q52" s="29"/>
      <c r="R52" s="29"/>
      <c r="S52" s="29"/>
      <c r="T52" s="29"/>
      <c r="U52" s="29"/>
      <c r="V52" s="29"/>
    </row>
    <row r="53" ht="15.75" customHeight="1">
      <c r="A53" s="26">
        <v>23.0</v>
      </c>
      <c r="B53" s="27">
        <f>ROUNDUP(C51,0)</f>
        <v>145</v>
      </c>
      <c r="C53" s="27">
        <v>144.890407</v>
      </c>
      <c r="D53" s="11"/>
      <c r="P53" s="30">
        <v>1.0</v>
      </c>
      <c r="Q53" s="31">
        <f t="shared" ref="Q53:Q61" si="16">R35/$R$45</f>
        <v>0.8485045514</v>
      </c>
      <c r="R53" s="31">
        <f t="shared" ref="R53:R61" si="17">S35/$S$45</f>
        <v>0.8524484536</v>
      </c>
      <c r="S53" s="31">
        <f>T35/T45</f>
        <v>0.954248366</v>
      </c>
      <c r="T53" s="31">
        <f t="shared" ref="T53:T61" si="18">AVERAGE(Q53:S53)</f>
        <v>0.8850671237</v>
      </c>
      <c r="U53" s="32">
        <f t="shared" ref="U53:U62" si="19">T53*(9/$T$62)</f>
        <v>0.8785604707</v>
      </c>
      <c r="V53" s="33">
        <f t="shared" ref="V53:V62" si="20">($T$44/$U$62)*U53</f>
        <v>156.1885281</v>
      </c>
    </row>
    <row r="54" ht="15.75" customHeight="1">
      <c r="A54" s="26">
        <v>24.0</v>
      </c>
      <c r="B54" s="27">
        <f>ROUNDUP(C51,0)</f>
        <v>145</v>
      </c>
      <c r="C54" s="27">
        <v>144.890407</v>
      </c>
      <c r="D54" s="15" t="s">
        <v>8</v>
      </c>
      <c r="E54" s="13">
        <f>AVERAGE(D41:D50)</f>
        <v>8.128302321</v>
      </c>
      <c r="F54" s="11" t="s">
        <v>8</v>
      </c>
      <c r="G54" s="13">
        <f>AVERAGE(G41:G50)</f>
        <v>9.496736355</v>
      </c>
      <c r="P54" s="30">
        <v>2.0</v>
      </c>
      <c r="Q54" s="31">
        <f t="shared" si="16"/>
        <v>0.9596879064</v>
      </c>
      <c r="R54" s="31">
        <f t="shared" si="17"/>
        <v>0.9394329897</v>
      </c>
      <c r="S54" s="31">
        <f>T36/T45</f>
        <v>1.045751634</v>
      </c>
      <c r="T54" s="31">
        <f t="shared" si="18"/>
        <v>0.9816241767</v>
      </c>
      <c r="U54" s="32">
        <f t="shared" si="19"/>
        <v>0.9744076756</v>
      </c>
      <c r="V54" s="33">
        <f t="shared" si="20"/>
        <v>173.2280312</v>
      </c>
    </row>
    <row r="55" ht="15.75" customHeight="1">
      <c r="A55" s="26">
        <v>25.0</v>
      </c>
      <c r="B55" s="27">
        <f>ROUNDUP(C51,0)</f>
        <v>145</v>
      </c>
      <c r="C55" s="27">
        <v>144.890407</v>
      </c>
      <c r="P55" s="30">
        <v>3.0</v>
      </c>
      <c r="Q55" s="31">
        <f t="shared" si="16"/>
        <v>1.041612484</v>
      </c>
      <c r="R55" s="31">
        <f t="shared" si="17"/>
        <v>1.043814433</v>
      </c>
      <c r="S55" s="32" t="s">
        <v>18</v>
      </c>
      <c r="T55" s="31">
        <f t="shared" si="18"/>
        <v>1.042713458</v>
      </c>
      <c r="U55" s="32">
        <f t="shared" si="19"/>
        <v>1.035047854</v>
      </c>
      <c r="V55" s="33">
        <f t="shared" si="20"/>
        <v>184.0085073</v>
      </c>
    </row>
    <row r="56" ht="15.75" customHeight="1">
      <c r="B56" s="15" t="s">
        <v>8</v>
      </c>
      <c r="C56" s="34">
        <v>8.12830232</v>
      </c>
      <c r="P56" s="30">
        <v>4.0</v>
      </c>
      <c r="Q56" s="31">
        <f t="shared" si="16"/>
        <v>1.170351105</v>
      </c>
      <c r="R56" s="31">
        <f t="shared" si="17"/>
        <v>1.153994845</v>
      </c>
      <c r="S56" s="30" t="s">
        <v>19</v>
      </c>
      <c r="T56" s="31">
        <f t="shared" si="18"/>
        <v>1.162172975</v>
      </c>
      <c r="U56" s="32">
        <f t="shared" si="19"/>
        <v>1.153629153</v>
      </c>
      <c r="V56" s="33">
        <f t="shared" si="20"/>
        <v>205.0896272</v>
      </c>
    </row>
    <row r="57" ht="15.75" customHeight="1">
      <c r="P57" s="30">
        <v>5.0</v>
      </c>
      <c r="Q57" s="31">
        <f t="shared" si="16"/>
        <v>1.258127438</v>
      </c>
      <c r="R57" s="31">
        <f t="shared" si="17"/>
        <v>1.275773196</v>
      </c>
      <c r="S57" s="30" t="s">
        <v>20</v>
      </c>
      <c r="T57" s="31">
        <f t="shared" si="18"/>
        <v>1.266950317</v>
      </c>
      <c r="U57" s="32">
        <f t="shared" si="19"/>
        <v>1.257636214</v>
      </c>
      <c r="V57" s="33">
        <f t="shared" si="20"/>
        <v>223.5797714</v>
      </c>
    </row>
    <row r="58" ht="15.75" customHeight="1">
      <c r="P58" s="30">
        <v>6.0</v>
      </c>
      <c r="Q58" s="31">
        <f t="shared" si="16"/>
        <v>1.199609883</v>
      </c>
      <c r="R58" s="31">
        <f t="shared" si="17"/>
        <v>1.206185567</v>
      </c>
      <c r="S58" s="30" t="s">
        <v>21</v>
      </c>
      <c r="T58" s="31">
        <f t="shared" si="18"/>
        <v>1.202897725</v>
      </c>
      <c r="U58" s="32">
        <f t="shared" si="19"/>
        <v>1.194054511</v>
      </c>
      <c r="V58" s="33">
        <f t="shared" si="20"/>
        <v>212.2763575</v>
      </c>
    </row>
    <row r="59" ht="15.75" customHeight="1">
      <c r="P59" s="30">
        <v>7.0</v>
      </c>
      <c r="Q59" s="31">
        <f t="shared" si="16"/>
        <v>0.9947984395</v>
      </c>
      <c r="R59" s="31">
        <f t="shared" si="17"/>
        <v>1.014819588</v>
      </c>
      <c r="S59" s="30" t="s">
        <v>22</v>
      </c>
      <c r="T59" s="31">
        <f t="shared" si="18"/>
        <v>1.004809014</v>
      </c>
      <c r="U59" s="32">
        <f t="shared" si="19"/>
        <v>0.997422067</v>
      </c>
      <c r="V59" s="33">
        <f t="shared" si="20"/>
        <v>177.3194786</v>
      </c>
    </row>
    <row r="60" ht="15.75" customHeight="1">
      <c r="P60" s="30">
        <v>8.0</v>
      </c>
      <c r="Q60" s="31">
        <f t="shared" si="16"/>
        <v>0.8309492848</v>
      </c>
      <c r="R60" s="31">
        <f t="shared" si="17"/>
        <v>0.8118556701</v>
      </c>
      <c r="S60" s="33"/>
      <c r="T60" s="31">
        <f t="shared" si="18"/>
        <v>0.8214024774</v>
      </c>
      <c r="U60" s="32">
        <f t="shared" si="19"/>
        <v>0.815363861</v>
      </c>
      <c r="V60" s="33">
        <f t="shared" si="20"/>
        <v>144.9535753</v>
      </c>
    </row>
    <row r="61" ht="15.75" customHeight="1">
      <c r="P61" s="30">
        <v>9.0</v>
      </c>
      <c r="Q61" s="31">
        <f t="shared" si="16"/>
        <v>0.6963589077</v>
      </c>
      <c r="R61" s="31">
        <f t="shared" si="17"/>
        <v>0.7016752577</v>
      </c>
      <c r="S61" s="33"/>
      <c r="T61" s="31">
        <f t="shared" si="18"/>
        <v>0.6990170827</v>
      </c>
      <c r="U61" s="32">
        <f t="shared" si="19"/>
        <v>0.6938781938</v>
      </c>
      <c r="V61" s="33">
        <f t="shared" si="20"/>
        <v>123.3561233</v>
      </c>
    </row>
    <row r="62" ht="15.75" customHeight="1">
      <c r="P62" s="35"/>
      <c r="Q62" s="35"/>
      <c r="R62" s="35"/>
      <c r="S62" s="35"/>
      <c r="T62" s="36">
        <f>SUM(T53:T61)</f>
        <v>9.06665435</v>
      </c>
      <c r="U62" s="32">
        <f t="shared" si="19"/>
        <v>9</v>
      </c>
      <c r="V62" s="33">
        <f t="shared" si="20"/>
        <v>1600</v>
      </c>
    </row>
    <row r="63" ht="15.75" customHeight="1"/>
    <row r="64" ht="15.75" customHeight="1"/>
    <row r="65" ht="15.75" customHeight="1">
      <c r="Q65" s="37" t="s">
        <v>29</v>
      </c>
      <c r="R65" s="38" t="s">
        <v>30</v>
      </c>
      <c r="S65" s="39" t="s">
        <v>31</v>
      </c>
      <c r="T65" s="39" t="s">
        <v>32</v>
      </c>
    </row>
    <row r="66" ht="15.75" customHeight="1">
      <c r="Q66" s="29"/>
      <c r="R66" s="40"/>
      <c r="S66" s="40"/>
      <c r="T66" s="40"/>
    </row>
    <row r="67" ht="15.75" customHeight="1">
      <c r="Q67" s="41" t="s">
        <v>33</v>
      </c>
      <c r="R67" s="29"/>
      <c r="S67" s="29"/>
      <c r="T67" s="29"/>
    </row>
    <row r="68" ht="15.75" customHeight="1">
      <c r="Q68" s="30">
        <v>1.0</v>
      </c>
      <c r="R68" s="21">
        <f t="shared" ref="R68:R87" si="21">B4</f>
        <v>140</v>
      </c>
      <c r="S68" s="42">
        <f t="shared" ref="S68:S76" si="22">$B$44/9*T53</f>
        <v>14.06273319</v>
      </c>
      <c r="T68" s="33">
        <f t="shared" ref="T68:T87" si="23">ABS(R68-S68)</f>
        <v>125.9372668</v>
      </c>
    </row>
    <row r="69" ht="15.75" customHeight="1">
      <c r="Q69" s="30">
        <v>2.0</v>
      </c>
      <c r="R69" s="21">
        <f t="shared" si="21"/>
        <v>155</v>
      </c>
      <c r="S69" s="42">
        <f t="shared" si="22"/>
        <v>15.59691747</v>
      </c>
      <c r="T69" s="33">
        <f t="shared" si="23"/>
        <v>139.4030825</v>
      </c>
    </row>
    <row r="70" ht="15.75" customHeight="1">
      <c r="Q70" s="30">
        <v>3.0</v>
      </c>
      <c r="R70" s="21">
        <f t="shared" si="21"/>
        <v>145</v>
      </c>
      <c r="S70" s="42">
        <f t="shared" si="22"/>
        <v>16.56755828</v>
      </c>
      <c r="T70" s="33">
        <f t="shared" si="23"/>
        <v>128.4324417</v>
      </c>
    </row>
    <row r="71" ht="15.75" customHeight="1">
      <c r="Q71" s="30">
        <v>4.0</v>
      </c>
      <c r="R71" s="21">
        <f t="shared" si="21"/>
        <v>152</v>
      </c>
      <c r="S71" s="42">
        <f t="shared" si="22"/>
        <v>18.46563727</v>
      </c>
      <c r="T71" s="33">
        <f t="shared" si="23"/>
        <v>133.5343627</v>
      </c>
    </row>
    <row r="72" ht="15.75" customHeight="1">
      <c r="Q72" s="30">
        <v>5.0</v>
      </c>
      <c r="R72" s="21">
        <f t="shared" si="21"/>
        <v>155</v>
      </c>
      <c r="S72" s="42">
        <f t="shared" si="22"/>
        <v>20.13043282</v>
      </c>
      <c r="T72" s="33">
        <f t="shared" si="23"/>
        <v>134.8695672</v>
      </c>
    </row>
    <row r="73" ht="15.75" customHeight="1">
      <c r="Q73" s="30">
        <v>6.0</v>
      </c>
      <c r="R73" s="21">
        <f t="shared" si="21"/>
        <v>145</v>
      </c>
      <c r="S73" s="42">
        <f t="shared" si="22"/>
        <v>19.1127083</v>
      </c>
      <c r="T73" s="33">
        <f t="shared" si="23"/>
        <v>125.8872917</v>
      </c>
    </row>
    <row r="74" ht="15.75" customHeight="1">
      <c r="Q74" s="30">
        <v>7.0</v>
      </c>
      <c r="R74" s="21">
        <f t="shared" si="21"/>
        <v>147</v>
      </c>
      <c r="S74" s="42">
        <f t="shared" si="22"/>
        <v>15.96529877</v>
      </c>
      <c r="T74" s="33">
        <f t="shared" si="23"/>
        <v>131.0347012</v>
      </c>
    </row>
    <row r="75" ht="15.75" customHeight="1">
      <c r="Q75" s="30">
        <v>8.0</v>
      </c>
      <c r="R75" s="21">
        <f t="shared" si="21"/>
        <v>135</v>
      </c>
      <c r="S75" s="42">
        <f t="shared" si="22"/>
        <v>13.0511727</v>
      </c>
      <c r="T75" s="33">
        <f t="shared" si="23"/>
        <v>121.9488273</v>
      </c>
    </row>
    <row r="76" ht="15.75" customHeight="1">
      <c r="Q76" s="30">
        <v>9.0</v>
      </c>
      <c r="R76" s="21">
        <f t="shared" si="21"/>
        <v>137</v>
      </c>
      <c r="S76" s="42">
        <f t="shared" si="22"/>
        <v>11.10660476</v>
      </c>
      <c r="T76" s="33">
        <f t="shared" si="23"/>
        <v>125.8933952</v>
      </c>
    </row>
    <row r="77" ht="15.75" customHeight="1">
      <c r="Q77" s="30">
        <v>10.0</v>
      </c>
      <c r="R77" s="21">
        <f t="shared" si="21"/>
        <v>140</v>
      </c>
      <c r="S77" s="43">
        <f t="shared" ref="S77:S85" si="24">$C$44/9*T53</f>
        <v>14.08778478</v>
      </c>
      <c r="T77" s="33">
        <f t="shared" si="23"/>
        <v>125.9122152</v>
      </c>
    </row>
    <row r="78" ht="15.75" customHeight="1">
      <c r="Q78" s="30">
        <v>11.0</v>
      </c>
      <c r="R78" s="21">
        <f t="shared" si="21"/>
        <v>120</v>
      </c>
      <c r="S78" s="43">
        <f t="shared" si="24"/>
        <v>15.62470209</v>
      </c>
      <c r="T78" s="33">
        <f t="shared" si="23"/>
        <v>104.3752979</v>
      </c>
    </row>
    <row r="79" ht="15.75" customHeight="1">
      <c r="Q79" s="30">
        <v>12.0</v>
      </c>
      <c r="R79" s="21">
        <f t="shared" si="21"/>
        <v>150</v>
      </c>
      <c r="S79" s="43">
        <f t="shared" si="24"/>
        <v>16.59707202</v>
      </c>
      <c r="T79" s="33">
        <f t="shared" si="23"/>
        <v>133.402928</v>
      </c>
    </row>
    <row r="80" ht="15.75" customHeight="1">
      <c r="Q80" s="30">
        <v>13.0</v>
      </c>
      <c r="R80" s="21">
        <f t="shared" si="21"/>
        <v>161</v>
      </c>
      <c r="S80" s="43">
        <f t="shared" si="24"/>
        <v>18.49853228</v>
      </c>
      <c r="T80" s="33">
        <f t="shared" si="23"/>
        <v>142.5014677</v>
      </c>
    </row>
    <row r="81" ht="15.75" customHeight="1">
      <c r="Q81" s="30">
        <v>14.0</v>
      </c>
      <c r="R81" s="21">
        <f t="shared" si="21"/>
        <v>143</v>
      </c>
      <c r="S81" s="43">
        <f t="shared" si="24"/>
        <v>20.16629352</v>
      </c>
      <c r="T81" s="33">
        <f t="shared" si="23"/>
        <v>122.8337065</v>
      </c>
    </row>
    <row r="82" ht="15.75" customHeight="1">
      <c r="Q82" s="30">
        <v>15.0</v>
      </c>
      <c r="R82" s="21">
        <f t="shared" si="21"/>
        <v>149</v>
      </c>
      <c r="S82" s="43">
        <f t="shared" si="24"/>
        <v>19.14675601</v>
      </c>
      <c r="T82" s="33">
        <f t="shared" si="23"/>
        <v>129.853244</v>
      </c>
    </row>
    <row r="83" ht="15.75" customHeight="1">
      <c r="Q83" s="30">
        <v>16.0</v>
      </c>
      <c r="R83" s="21">
        <f t="shared" si="21"/>
        <v>140</v>
      </c>
      <c r="S83" s="43">
        <f t="shared" si="24"/>
        <v>15.99373963</v>
      </c>
      <c r="T83" s="33">
        <f t="shared" si="23"/>
        <v>124.0062604</v>
      </c>
    </row>
    <row r="84" ht="15.75" customHeight="1">
      <c r="Q84" s="30">
        <v>17.0</v>
      </c>
      <c r="R84" s="21">
        <f t="shared" si="21"/>
        <v>142</v>
      </c>
      <c r="S84" s="43">
        <f t="shared" si="24"/>
        <v>13.07442228</v>
      </c>
      <c r="T84" s="33">
        <f t="shared" si="23"/>
        <v>128.9255777</v>
      </c>
    </row>
    <row r="85" ht="15.75" customHeight="1">
      <c r="Q85" s="30">
        <v>18.0</v>
      </c>
      <c r="R85" s="21">
        <f t="shared" si="21"/>
        <v>157</v>
      </c>
      <c r="S85" s="43">
        <f t="shared" si="24"/>
        <v>11.12639026</v>
      </c>
      <c r="T85" s="33">
        <f t="shared" si="23"/>
        <v>145.8736097</v>
      </c>
    </row>
    <row r="86" ht="15.75" customHeight="1">
      <c r="Q86" s="30">
        <v>19.0</v>
      </c>
      <c r="R86" s="21">
        <f t="shared" si="21"/>
        <v>148</v>
      </c>
      <c r="S86" s="44">
        <f t="shared" ref="S86:S92" si="25">V53</f>
        <v>156.1885281</v>
      </c>
      <c r="T86" s="33">
        <f t="shared" si="23"/>
        <v>8.188528119</v>
      </c>
    </row>
    <row r="87" ht="15.75" customHeight="1">
      <c r="Q87" s="30">
        <v>20.0</v>
      </c>
      <c r="R87" s="21">
        <f t="shared" si="21"/>
        <v>144</v>
      </c>
      <c r="S87" s="44">
        <f t="shared" si="25"/>
        <v>173.2280312</v>
      </c>
      <c r="T87" s="33">
        <f t="shared" si="23"/>
        <v>29.22803121</v>
      </c>
    </row>
    <row r="88" ht="15.75" customHeight="1">
      <c r="Q88" s="30">
        <v>21.0</v>
      </c>
      <c r="R88" s="32"/>
      <c r="S88" s="44">
        <f t="shared" si="25"/>
        <v>184.0085073</v>
      </c>
      <c r="T88" s="32"/>
    </row>
    <row r="89" ht="15.75" customHeight="1">
      <c r="Q89" s="30">
        <v>22.0</v>
      </c>
      <c r="R89" s="32"/>
      <c r="S89" s="44">
        <f t="shared" si="25"/>
        <v>205.0896272</v>
      </c>
      <c r="T89" s="32"/>
    </row>
    <row r="90" ht="15.75" customHeight="1">
      <c r="Q90" s="30">
        <v>23.0</v>
      </c>
      <c r="R90" s="32"/>
      <c r="S90" s="44">
        <f t="shared" si="25"/>
        <v>223.5797714</v>
      </c>
      <c r="T90" s="32"/>
    </row>
    <row r="91" ht="15.75" customHeight="1">
      <c r="Q91" s="30">
        <v>24.0</v>
      </c>
      <c r="R91" s="32"/>
      <c r="S91" s="44">
        <f t="shared" si="25"/>
        <v>212.2763575</v>
      </c>
      <c r="T91" s="32"/>
    </row>
    <row r="92" ht="15.75" customHeight="1">
      <c r="Q92" s="30">
        <v>25.0</v>
      </c>
      <c r="R92" s="32"/>
      <c r="S92" s="44">
        <f t="shared" si="25"/>
        <v>177.3194786</v>
      </c>
      <c r="T92" s="32"/>
    </row>
    <row r="93" ht="15.75" customHeight="1">
      <c r="Q93" s="19"/>
      <c r="R93" s="19"/>
      <c r="S93" s="45" t="s">
        <v>8</v>
      </c>
      <c r="T93" s="46">
        <f>AVERAGE(T68:T87)</f>
        <v>118.1020901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Q65:Q66"/>
    <mergeCell ref="R65:R67"/>
    <mergeCell ref="S65:S67"/>
    <mergeCell ref="T65:T67"/>
    <mergeCell ref="P51:P52"/>
    <mergeCell ref="Q51:Q52"/>
    <mergeCell ref="R51:R52"/>
    <mergeCell ref="S51:S52"/>
    <mergeCell ref="T51:T52"/>
    <mergeCell ref="U51:U52"/>
    <mergeCell ref="V51:V5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44"/>
  </cols>
  <sheetData>
    <row r="2">
      <c r="A2" s="1"/>
      <c r="B2" s="1"/>
      <c r="C2" s="1"/>
      <c r="D2" s="1"/>
      <c r="E2" s="1"/>
      <c r="F2" s="2" t="s">
        <v>34</v>
      </c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4">
      <c r="A4" s="47" t="s">
        <v>35</v>
      </c>
      <c r="B4" s="47">
        <v>0.1</v>
      </c>
    </row>
    <row r="7">
      <c r="A7" s="48" t="s">
        <v>36</v>
      </c>
      <c r="B7" s="48" t="s">
        <v>1</v>
      </c>
      <c r="C7" s="48" t="s">
        <v>37</v>
      </c>
      <c r="D7" s="48" t="s">
        <v>38</v>
      </c>
      <c r="E7" s="48" t="s">
        <v>39</v>
      </c>
      <c r="F7" s="48" t="s">
        <v>40</v>
      </c>
      <c r="G7" s="48" t="s">
        <v>31</v>
      </c>
      <c r="H7" s="48" t="s">
        <v>32</v>
      </c>
    </row>
    <row r="8">
      <c r="A8" s="49">
        <v>1.0</v>
      </c>
      <c r="B8" s="50">
        <v>140.0</v>
      </c>
      <c r="C8" s="50">
        <v>140.0</v>
      </c>
      <c r="D8" s="50">
        <v>140.0</v>
      </c>
      <c r="E8" s="50">
        <v>140.0</v>
      </c>
      <c r="F8" s="4">
        <f>((B9-B8)+(B11-B10))/2</f>
        <v>11</v>
      </c>
      <c r="G8" s="4"/>
      <c r="H8" s="4"/>
    </row>
    <row r="9">
      <c r="A9" s="49">
        <v>2.0</v>
      </c>
      <c r="B9" s="50">
        <v>155.0</v>
      </c>
      <c r="C9" s="4">
        <f t="shared" ref="C9:D9" si="1">$B$4*B9+(1-$B$4)*C8</f>
        <v>141.5</v>
      </c>
      <c r="D9" s="4">
        <f t="shared" si="1"/>
        <v>140.15</v>
      </c>
      <c r="E9" s="4">
        <f t="shared" ref="E9:E27" si="3">2*C9-D9</f>
        <v>142.85</v>
      </c>
      <c r="F9" s="4">
        <f t="shared" ref="F9:F27" si="4">($B$4/(1-$B$4))*(C9-D9)</f>
        <v>0.15</v>
      </c>
      <c r="G9" s="4">
        <f t="shared" ref="G9:G27" si="5">E8+F8</f>
        <v>151</v>
      </c>
      <c r="H9" s="4">
        <f t="shared" ref="H9:H27" si="6">abs(B9-G9)</f>
        <v>4</v>
      </c>
    </row>
    <row r="10">
      <c r="A10" s="49">
        <v>3.0</v>
      </c>
      <c r="B10" s="50">
        <v>145.0</v>
      </c>
      <c r="C10" s="4">
        <f t="shared" ref="C10:D10" si="2">$B$4*B10+(1-$B$4)*C9</f>
        <v>141.85</v>
      </c>
      <c r="D10" s="4">
        <f t="shared" si="2"/>
        <v>140.32</v>
      </c>
      <c r="E10" s="4">
        <f t="shared" si="3"/>
        <v>143.38</v>
      </c>
      <c r="F10" s="4">
        <f t="shared" si="4"/>
        <v>0.17</v>
      </c>
      <c r="G10" s="4">
        <f t="shared" si="5"/>
        <v>143</v>
      </c>
      <c r="H10" s="4">
        <f t="shared" si="6"/>
        <v>2</v>
      </c>
    </row>
    <row r="11">
      <c r="A11" s="49">
        <v>4.0</v>
      </c>
      <c r="B11" s="50">
        <v>152.0</v>
      </c>
      <c r="C11" s="4">
        <f t="shared" ref="C11:D11" si="7">$B$4*B11+(1-$B$4)*C10</f>
        <v>142.865</v>
      </c>
      <c r="D11" s="4">
        <f t="shared" si="7"/>
        <v>140.5745</v>
      </c>
      <c r="E11" s="4">
        <f t="shared" si="3"/>
        <v>145.1555</v>
      </c>
      <c r="F11" s="4">
        <f t="shared" si="4"/>
        <v>0.2545</v>
      </c>
      <c r="G11" s="4">
        <f t="shared" si="5"/>
        <v>143.55</v>
      </c>
      <c r="H11" s="4">
        <f t="shared" si="6"/>
        <v>8.45</v>
      </c>
    </row>
    <row r="12">
      <c r="A12" s="49">
        <v>5.0</v>
      </c>
      <c r="B12" s="50">
        <v>155.0</v>
      </c>
      <c r="C12" s="4">
        <f t="shared" ref="C12:D12" si="8">$B$4*B12+(1-$B$4)*C11</f>
        <v>144.0785</v>
      </c>
      <c r="D12" s="4">
        <f t="shared" si="8"/>
        <v>140.9249</v>
      </c>
      <c r="E12" s="4">
        <f t="shared" si="3"/>
        <v>147.2321</v>
      </c>
      <c r="F12" s="4">
        <f t="shared" si="4"/>
        <v>0.3504</v>
      </c>
      <c r="G12" s="4">
        <f t="shared" si="5"/>
        <v>145.41</v>
      </c>
      <c r="H12" s="4">
        <f t="shared" si="6"/>
        <v>9.59</v>
      </c>
    </row>
    <row r="13">
      <c r="A13" s="49">
        <v>6.0</v>
      </c>
      <c r="B13" s="50">
        <v>145.0</v>
      </c>
      <c r="C13" s="4">
        <f t="shared" ref="C13:D13" si="9">$B$4*B13+(1-$B$4)*C12</f>
        <v>144.17065</v>
      </c>
      <c r="D13" s="4">
        <f t="shared" si="9"/>
        <v>141.249475</v>
      </c>
      <c r="E13" s="4">
        <f t="shared" si="3"/>
        <v>147.091825</v>
      </c>
      <c r="F13" s="4">
        <f t="shared" si="4"/>
        <v>0.324575</v>
      </c>
      <c r="G13" s="4">
        <f t="shared" si="5"/>
        <v>147.5825</v>
      </c>
      <c r="H13" s="4">
        <f t="shared" si="6"/>
        <v>2.5825</v>
      </c>
    </row>
    <row r="14">
      <c r="A14" s="49">
        <v>7.0</v>
      </c>
      <c r="B14" s="50">
        <v>147.0</v>
      </c>
      <c r="C14" s="4">
        <f t="shared" ref="C14:D14" si="10">$B$4*B14+(1-$B$4)*C13</f>
        <v>144.453585</v>
      </c>
      <c r="D14" s="4">
        <f t="shared" si="10"/>
        <v>141.569886</v>
      </c>
      <c r="E14" s="4">
        <f t="shared" si="3"/>
        <v>147.337284</v>
      </c>
      <c r="F14" s="4">
        <f t="shared" si="4"/>
        <v>0.320411</v>
      </c>
      <c r="G14" s="4">
        <f t="shared" si="5"/>
        <v>147.4164</v>
      </c>
      <c r="H14" s="4">
        <f t="shared" si="6"/>
        <v>0.4164</v>
      </c>
    </row>
    <row r="15">
      <c r="A15" s="49">
        <v>8.0</v>
      </c>
      <c r="B15" s="50">
        <v>135.0</v>
      </c>
      <c r="C15" s="4">
        <f t="shared" ref="C15:D15" si="11">$B$4*B15+(1-$B$4)*C14</f>
        <v>143.5082265</v>
      </c>
      <c r="D15" s="4">
        <f t="shared" si="11"/>
        <v>141.7637201</v>
      </c>
      <c r="E15" s="4">
        <f t="shared" si="3"/>
        <v>145.252733</v>
      </c>
      <c r="F15" s="4">
        <f t="shared" si="4"/>
        <v>0.19383405</v>
      </c>
      <c r="G15" s="4">
        <f t="shared" si="5"/>
        <v>147.657695</v>
      </c>
      <c r="H15" s="4">
        <f t="shared" si="6"/>
        <v>12.657695</v>
      </c>
    </row>
    <row r="16">
      <c r="A16" s="49">
        <v>9.0</v>
      </c>
      <c r="B16" s="50">
        <v>137.0</v>
      </c>
      <c r="C16" s="4">
        <f t="shared" ref="C16:D16" si="12">$B$4*B16+(1-$B$4)*C15</f>
        <v>142.8574039</v>
      </c>
      <c r="D16" s="4">
        <f t="shared" si="12"/>
        <v>141.8730884</v>
      </c>
      <c r="E16" s="4">
        <f t="shared" si="3"/>
        <v>143.8417193</v>
      </c>
      <c r="F16" s="4">
        <f t="shared" si="4"/>
        <v>0.10936838</v>
      </c>
      <c r="G16" s="4">
        <f t="shared" si="5"/>
        <v>145.446567</v>
      </c>
      <c r="H16" s="4">
        <f t="shared" si="6"/>
        <v>8.446567</v>
      </c>
    </row>
    <row r="17">
      <c r="A17" s="49">
        <v>10.0</v>
      </c>
      <c r="B17" s="50">
        <v>140.0</v>
      </c>
      <c r="C17" s="4">
        <f t="shared" ref="C17:D17" si="13">$B$4*B17+(1-$B$4)*C16</f>
        <v>142.5716635</v>
      </c>
      <c r="D17" s="4">
        <f t="shared" si="13"/>
        <v>141.9429459</v>
      </c>
      <c r="E17" s="4">
        <f t="shared" si="3"/>
        <v>143.200381</v>
      </c>
      <c r="F17" s="4">
        <f t="shared" si="4"/>
        <v>0.0698575035</v>
      </c>
      <c r="G17" s="4">
        <f t="shared" si="5"/>
        <v>143.9510877</v>
      </c>
      <c r="H17" s="4">
        <f t="shared" si="6"/>
        <v>3.95108765</v>
      </c>
    </row>
    <row r="18">
      <c r="A18" s="49">
        <v>11.0</v>
      </c>
      <c r="B18" s="50">
        <v>120.0</v>
      </c>
      <c r="C18" s="4">
        <f t="shared" ref="C18:D18" si="14">$B$4*B18+(1-$B$4)*C17</f>
        <v>140.3144971</v>
      </c>
      <c r="D18" s="4">
        <f t="shared" si="14"/>
        <v>141.7801011</v>
      </c>
      <c r="E18" s="4">
        <f t="shared" si="3"/>
        <v>138.8488932</v>
      </c>
      <c r="F18" s="4">
        <f t="shared" si="4"/>
        <v>-0.1628448815</v>
      </c>
      <c r="G18" s="4">
        <f t="shared" si="5"/>
        <v>143.2702385</v>
      </c>
      <c r="H18" s="4">
        <f t="shared" si="6"/>
        <v>23.2702385</v>
      </c>
    </row>
    <row r="19">
      <c r="A19" s="49">
        <v>12.0</v>
      </c>
      <c r="B19" s="50">
        <v>150.0</v>
      </c>
      <c r="C19" s="4">
        <f t="shared" ref="C19:D19" si="15">$B$4*B19+(1-$B$4)*C18</f>
        <v>141.2830474</v>
      </c>
      <c r="D19" s="4">
        <f t="shared" si="15"/>
        <v>141.7303957</v>
      </c>
      <c r="E19" s="4">
        <f t="shared" si="3"/>
        <v>140.8356991</v>
      </c>
      <c r="F19" s="4">
        <f t="shared" si="4"/>
        <v>-0.04970536454</v>
      </c>
      <c r="G19" s="4">
        <f t="shared" si="5"/>
        <v>138.6860483</v>
      </c>
      <c r="H19" s="4">
        <f t="shared" si="6"/>
        <v>11.3139517</v>
      </c>
    </row>
    <row r="20">
      <c r="A20" s="49">
        <v>13.0</v>
      </c>
      <c r="B20" s="50">
        <v>161.0</v>
      </c>
      <c r="C20" s="4">
        <f t="shared" ref="C20:D20" si="16">$B$4*B20+(1-$B$4)*C19</f>
        <v>143.2547427</v>
      </c>
      <c r="D20" s="4">
        <f t="shared" si="16"/>
        <v>141.8828304</v>
      </c>
      <c r="E20" s="4">
        <f t="shared" si="3"/>
        <v>144.6266549</v>
      </c>
      <c r="F20" s="4">
        <f t="shared" si="4"/>
        <v>0.1524346979</v>
      </c>
      <c r="G20" s="4">
        <f t="shared" si="5"/>
        <v>140.7859938</v>
      </c>
      <c r="H20" s="4">
        <f t="shared" si="6"/>
        <v>20.21400624</v>
      </c>
    </row>
    <row r="21">
      <c r="A21" s="49">
        <v>14.0</v>
      </c>
      <c r="B21" s="50">
        <v>143.0</v>
      </c>
      <c r="C21" s="4">
        <f t="shared" ref="C21:D21" si="17">$B$4*B21+(1-$B$4)*C20</f>
        <v>143.2292684</v>
      </c>
      <c r="D21" s="4">
        <f t="shared" si="17"/>
        <v>142.0174742</v>
      </c>
      <c r="E21" s="4">
        <f t="shared" si="3"/>
        <v>144.4410626</v>
      </c>
      <c r="F21" s="4">
        <f t="shared" si="4"/>
        <v>0.1346438014</v>
      </c>
      <c r="G21" s="4">
        <f t="shared" si="5"/>
        <v>144.7790896</v>
      </c>
      <c r="H21" s="4">
        <f t="shared" si="6"/>
        <v>1.779089645</v>
      </c>
    </row>
    <row r="22">
      <c r="A22" s="49">
        <v>15.0</v>
      </c>
      <c r="B22" s="50">
        <v>149.0</v>
      </c>
      <c r="C22" s="4">
        <f t="shared" ref="C22:D22" si="18">$B$4*B22+(1-$B$4)*C21</f>
        <v>143.8063416</v>
      </c>
      <c r="D22" s="4">
        <f t="shared" si="18"/>
        <v>142.1963609</v>
      </c>
      <c r="E22" s="4">
        <f t="shared" si="3"/>
        <v>145.4163222</v>
      </c>
      <c r="F22" s="4">
        <f t="shared" si="4"/>
        <v>0.1788867373</v>
      </c>
      <c r="G22" s="4">
        <f t="shared" si="5"/>
        <v>144.5757064</v>
      </c>
      <c r="H22" s="4">
        <f t="shared" si="6"/>
        <v>4.424293587</v>
      </c>
    </row>
    <row r="23">
      <c r="A23" s="49">
        <v>16.0</v>
      </c>
      <c r="B23" s="50">
        <v>140.0</v>
      </c>
      <c r="C23" s="4">
        <f t="shared" ref="C23:D23" si="19">$B$4*B23+(1-$B$4)*C22</f>
        <v>143.4257074</v>
      </c>
      <c r="D23" s="4">
        <f t="shared" si="19"/>
        <v>142.3192956</v>
      </c>
      <c r="E23" s="4">
        <f t="shared" si="3"/>
        <v>144.5321192</v>
      </c>
      <c r="F23" s="4">
        <f t="shared" si="4"/>
        <v>0.122934648</v>
      </c>
      <c r="G23" s="4">
        <f t="shared" si="5"/>
        <v>145.5952089</v>
      </c>
      <c r="H23" s="4">
        <f t="shared" si="6"/>
        <v>5.595208932</v>
      </c>
    </row>
    <row r="24">
      <c r="A24" s="49">
        <v>17.0</v>
      </c>
      <c r="B24" s="50">
        <v>142.0</v>
      </c>
      <c r="C24" s="4">
        <f t="shared" ref="C24:D24" si="20">$B$4*B24+(1-$B$4)*C23</f>
        <v>143.2831367</v>
      </c>
      <c r="D24" s="4">
        <f t="shared" si="20"/>
        <v>142.4156797</v>
      </c>
      <c r="E24" s="4">
        <f t="shared" si="3"/>
        <v>144.1505936</v>
      </c>
      <c r="F24" s="4">
        <f t="shared" si="4"/>
        <v>0.09638410912</v>
      </c>
      <c r="G24" s="4">
        <f t="shared" si="5"/>
        <v>144.6550539</v>
      </c>
      <c r="H24" s="4">
        <f t="shared" si="6"/>
        <v>2.655053883</v>
      </c>
    </row>
    <row r="25">
      <c r="A25" s="49">
        <v>18.0</v>
      </c>
      <c r="B25" s="50">
        <v>157.0</v>
      </c>
      <c r="C25" s="4">
        <f t="shared" ref="C25:D25" si="21">$B$4*B25+(1-$B$4)*C24</f>
        <v>144.654823</v>
      </c>
      <c r="D25" s="4">
        <f t="shared" si="21"/>
        <v>142.639594</v>
      </c>
      <c r="E25" s="4">
        <f t="shared" si="3"/>
        <v>146.670052</v>
      </c>
      <c r="F25" s="4">
        <f t="shared" si="4"/>
        <v>0.2239143316</v>
      </c>
      <c r="G25" s="4">
        <f t="shared" si="5"/>
        <v>144.2469778</v>
      </c>
      <c r="H25" s="4">
        <f t="shared" si="6"/>
        <v>12.75302225</v>
      </c>
    </row>
    <row r="26">
      <c r="A26" s="49">
        <v>19.0</v>
      </c>
      <c r="B26" s="50">
        <v>148.0</v>
      </c>
      <c r="C26" s="4">
        <f t="shared" ref="C26:D26" si="22">$B$4*B26+(1-$B$4)*C25</f>
        <v>144.9893407</v>
      </c>
      <c r="D26" s="4">
        <f t="shared" si="22"/>
        <v>142.8745687</v>
      </c>
      <c r="E26" s="4">
        <f t="shared" si="3"/>
        <v>147.1041127</v>
      </c>
      <c r="F26" s="4">
        <f t="shared" si="4"/>
        <v>0.2349746685</v>
      </c>
      <c r="G26" s="4">
        <f t="shared" si="5"/>
        <v>146.8939663</v>
      </c>
      <c r="H26" s="4">
        <f t="shared" si="6"/>
        <v>1.106033687</v>
      </c>
      <c r="I26" s="51" t="s">
        <v>8</v>
      </c>
    </row>
    <row r="27">
      <c r="A27" s="49">
        <v>20.0</v>
      </c>
      <c r="B27" s="50">
        <v>144.0</v>
      </c>
      <c r="C27" s="4">
        <f t="shared" ref="C27:D27" si="23">$B$4*B27+(1-$B$4)*C26</f>
        <v>144.8904066</v>
      </c>
      <c r="D27" s="4">
        <f t="shared" si="23"/>
        <v>143.0761525</v>
      </c>
      <c r="E27" s="4">
        <f t="shared" si="3"/>
        <v>146.7046608</v>
      </c>
      <c r="F27" s="4">
        <f t="shared" si="4"/>
        <v>0.2015837946</v>
      </c>
      <c r="G27" s="4">
        <f t="shared" si="5"/>
        <v>147.3390874</v>
      </c>
      <c r="H27" s="4">
        <f t="shared" si="6"/>
        <v>3.339087382</v>
      </c>
      <c r="I27" s="52">
        <f>AVERAGE(H17:H26)</f>
        <v>8.706198606</v>
      </c>
    </row>
    <row r="28">
      <c r="A28" s="49">
        <v>21.0</v>
      </c>
      <c r="B28" s="4"/>
      <c r="C28" s="4"/>
      <c r="D28" s="4"/>
      <c r="E28" s="4"/>
      <c r="F28" s="4"/>
      <c r="G28" s="53">
        <f>$E$27+($F$27*2)</f>
        <v>147.1078284</v>
      </c>
      <c r="H28" s="4"/>
    </row>
    <row r="29">
      <c r="A29" s="49">
        <v>22.0</v>
      </c>
      <c r="B29" s="4"/>
      <c r="C29" s="4"/>
      <c r="D29" s="4"/>
      <c r="E29" s="4"/>
      <c r="F29" s="4"/>
      <c r="G29" s="53">
        <f>E27+(F27*3)</f>
        <v>147.3094122</v>
      </c>
      <c r="H29" s="4"/>
    </row>
    <row r="30">
      <c r="A30" s="49">
        <v>23.0</v>
      </c>
      <c r="B30" s="4"/>
      <c r="C30" s="4"/>
      <c r="D30" s="4"/>
      <c r="E30" s="4"/>
      <c r="F30" s="4"/>
      <c r="G30" s="53">
        <f>E27+(F27*4)</f>
        <v>147.510996</v>
      </c>
      <c r="H30" s="4"/>
    </row>
    <row r="31">
      <c r="A31" s="49">
        <v>24.0</v>
      </c>
      <c r="B31" s="4"/>
      <c r="C31" s="4"/>
      <c r="D31" s="4"/>
      <c r="E31" s="4"/>
      <c r="F31" s="4"/>
      <c r="G31" s="53">
        <f>E27+(F27*5)</f>
        <v>147.7125798</v>
      </c>
      <c r="H31" s="4"/>
    </row>
    <row r="32">
      <c r="A32" s="49">
        <v>25.0</v>
      </c>
      <c r="B32" s="4"/>
      <c r="C32" s="4"/>
      <c r="D32" s="4"/>
      <c r="E32" s="4"/>
      <c r="F32" s="4"/>
      <c r="G32" s="53">
        <f>E27+(F27*6)</f>
        <v>147.9141635</v>
      </c>
      <c r="H32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5" width="10.56"/>
  </cols>
  <sheetData>
    <row r="1" ht="15.75" customHeight="1">
      <c r="A1" s="1"/>
      <c r="B1" s="1"/>
      <c r="C1" s="1"/>
      <c r="D1" s="2" t="s">
        <v>41</v>
      </c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.75" customHeight="1"/>
    <row r="3" ht="15.75" customHeight="1">
      <c r="A3" s="4"/>
      <c r="B3" s="5" t="s">
        <v>42</v>
      </c>
      <c r="C3" s="5" t="s">
        <v>2</v>
      </c>
      <c r="D3" s="5" t="s">
        <v>3</v>
      </c>
      <c r="E3" s="5" t="s">
        <v>4</v>
      </c>
      <c r="F3" s="5" t="s">
        <v>3</v>
      </c>
      <c r="G3" s="5" t="s">
        <v>5</v>
      </c>
      <c r="H3" s="5" t="s">
        <v>3</v>
      </c>
      <c r="I3" s="5" t="s">
        <v>6</v>
      </c>
      <c r="J3" s="5" t="s">
        <v>3</v>
      </c>
    </row>
    <row r="4" ht="15.75" customHeight="1">
      <c r="A4" s="5">
        <v>1.0</v>
      </c>
      <c r="B4" s="4">
        <v>145.0</v>
      </c>
      <c r="C4" s="4"/>
      <c r="D4" s="4"/>
      <c r="E4" s="4"/>
      <c r="F4" s="4"/>
      <c r="G4" s="4"/>
      <c r="H4" s="4"/>
      <c r="I4" s="4"/>
      <c r="J4" s="4"/>
    </row>
    <row r="5" ht="15.75" customHeight="1">
      <c r="A5" s="5">
        <v>2.0</v>
      </c>
      <c r="B5" s="4">
        <v>164.0</v>
      </c>
      <c r="C5" s="4">
        <v>145.0</v>
      </c>
      <c r="D5" s="4">
        <f t="shared" ref="D5:D23" si="1">ABS(B5-C5)</f>
        <v>19</v>
      </c>
      <c r="E5" s="4"/>
      <c r="F5" s="4"/>
      <c r="G5" s="4"/>
      <c r="H5" s="4"/>
      <c r="I5" s="4"/>
      <c r="J5" s="4"/>
    </row>
    <row r="6" ht="15.75" customHeight="1">
      <c r="A6" s="5">
        <v>3.0</v>
      </c>
      <c r="B6" s="4">
        <v>178.0</v>
      </c>
      <c r="C6" s="4">
        <v>164.0</v>
      </c>
      <c r="D6" s="4">
        <f t="shared" si="1"/>
        <v>14</v>
      </c>
      <c r="E6" s="4">
        <f t="shared" ref="E6:E24" si="2">AVERAGE(B4:B5)</f>
        <v>154.5</v>
      </c>
      <c r="F6" s="4">
        <f t="shared" ref="F6:F23" si="3">ABS(B6-E6)</f>
        <v>23.5</v>
      </c>
      <c r="G6" s="4"/>
      <c r="H6" s="4"/>
      <c r="I6" s="4"/>
      <c r="J6" s="4"/>
    </row>
    <row r="7" ht="15.75" customHeight="1">
      <c r="A7" s="5">
        <v>4.0</v>
      </c>
      <c r="B7" s="4">
        <v>200.0</v>
      </c>
      <c r="C7" s="4">
        <v>178.0</v>
      </c>
      <c r="D7" s="4">
        <f t="shared" si="1"/>
        <v>22</v>
      </c>
      <c r="E7" s="4">
        <f t="shared" si="2"/>
        <v>171</v>
      </c>
      <c r="F7" s="4">
        <f t="shared" si="3"/>
        <v>29</v>
      </c>
      <c r="G7" s="4">
        <f t="shared" ref="G7:G24" si="4">AVERAGE(B4:B6)</f>
        <v>162.3333333</v>
      </c>
      <c r="H7" s="4">
        <f t="shared" ref="H7:H23" si="5">ABS(B7-G7)</f>
        <v>37.66666667</v>
      </c>
      <c r="I7" s="4"/>
      <c r="J7" s="4"/>
    </row>
    <row r="8" ht="15.75" customHeight="1">
      <c r="A8" s="5">
        <v>5.0</v>
      </c>
      <c r="B8" s="4">
        <v>215.0</v>
      </c>
      <c r="C8" s="4">
        <v>200.0</v>
      </c>
      <c r="D8" s="4">
        <f t="shared" si="1"/>
        <v>15</v>
      </c>
      <c r="E8" s="4">
        <f t="shared" si="2"/>
        <v>189</v>
      </c>
      <c r="F8" s="4">
        <f t="shared" si="3"/>
        <v>26</v>
      </c>
      <c r="G8" s="4">
        <f t="shared" si="4"/>
        <v>180.6666667</v>
      </c>
      <c r="H8" s="4">
        <f t="shared" si="5"/>
        <v>34.33333333</v>
      </c>
      <c r="I8" s="4">
        <f t="shared" ref="I8:I24" si="6">AVERAGE(B4:B7)</f>
        <v>171.75</v>
      </c>
      <c r="J8" s="4">
        <f t="shared" ref="J8:J23" si="7">ABS(B8-I8)</f>
        <v>43.25</v>
      </c>
    </row>
    <row r="9" ht="15.75" customHeight="1">
      <c r="A9" s="5">
        <v>6.0</v>
      </c>
      <c r="B9" s="4">
        <v>205.0</v>
      </c>
      <c r="C9" s="4">
        <v>215.0</v>
      </c>
      <c r="D9" s="4">
        <f t="shared" si="1"/>
        <v>10</v>
      </c>
      <c r="E9" s="4">
        <f t="shared" si="2"/>
        <v>207.5</v>
      </c>
      <c r="F9" s="4">
        <f t="shared" si="3"/>
        <v>2.5</v>
      </c>
      <c r="G9" s="4">
        <f t="shared" si="4"/>
        <v>197.6666667</v>
      </c>
      <c r="H9" s="4">
        <f t="shared" si="5"/>
        <v>7.333333333</v>
      </c>
      <c r="I9" s="4">
        <f t="shared" si="6"/>
        <v>189.25</v>
      </c>
      <c r="J9" s="4">
        <f t="shared" si="7"/>
        <v>15.75</v>
      </c>
    </row>
    <row r="10" ht="15.75" customHeight="1">
      <c r="A10" s="5">
        <v>7.0</v>
      </c>
      <c r="B10" s="4">
        <v>170.0</v>
      </c>
      <c r="C10" s="4">
        <v>205.0</v>
      </c>
      <c r="D10" s="4">
        <f t="shared" si="1"/>
        <v>35</v>
      </c>
      <c r="E10" s="4">
        <f t="shared" si="2"/>
        <v>210</v>
      </c>
      <c r="F10" s="4">
        <f t="shared" si="3"/>
        <v>40</v>
      </c>
      <c r="G10" s="4">
        <f t="shared" si="4"/>
        <v>206.6666667</v>
      </c>
      <c r="H10" s="4">
        <f t="shared" si="5"/>
        <v>36.66666667</v>
      </c>
      <c r="I10" s="4">
        <f t="shared" si="6"/>
        <v>199.5</v>
      </c>
      <c r="J10" s="4">
        <f t="shared" si="7"/>
        <v>29.5</v>
      </c>
    </row>
    <row r="11" ht="15.75" customHeight="1">
      <c r="A11" s="5">
        <v>8.0</v>
      </c>
      <c r="B11" s="4">
        <v>142.0</v>
      </c>
      <c r="C11" s="4">
        <v>170.0</v>
      </c>
      <c r="D11" s="4">
        <f t="shared" si="1"/>
        <v>28</v>
      </c>
      <c r="E11" s="4">
        <f t="shared" si="2"/>
        <v>187.5</v>
      </c>
      <c r="F11" s="4">
        <f t="shared" si="3"/>
        <v>45.5</v>
      </c>
      <c r="G11" s="4">
        <f t="shared" si="4"/>
        <v>196.6666667</v>
      </c>
      <c r="H11" s="4">
        <f t="shared" si="5"/>
        <v>54.66666667</v>
      </c>
      <c r="I11" s="4">
        <f t="shared" si="6"/>
        <v>197.5</v>
      </c>
      <c r="J11" s="4">
        <f t="shared" si="7"/>
        <v>55.5</v>
      </c>
    </row>
    <row r="12" ht="15.75" customHeight="1">
      <c r="A12" s="5">
        <v>9.0</v>
      </c>
      <c r="B12" s="4">
        <v>119.0</v>
      </c>
      <c r="C12" s="4">
        <v>142.0</v>
      </c>
      <c r="D12" s="4">
        <f t="shared" si="1"/>
        <v>23</v>
      </c>
      <c r="E12" s="4">
        <f t="shared" si="2"/>
        <v>156</v>
      </c>
      <c r="F12" s="4">
        <f t="shared" si="3"/>
        <v>37</v>
      </c>
      <c r="G12" s="4">
        <f t="shared" si="4"/>
        <v>172.3333333</v>
      </c>
      <c r="H12" s="4">
        <f t="shared" si="5"/>
        <v>53.33333333</v>
      </c>
      <c r="I12" s="4">
        <f t="shared" si="6"/>
        <v>183</v>
      </c>
      <c r="J12" s="4">
        <f t="shared" si="7"/>
        <v>64</v>
      </c>
    </row>
    <row r="13" ht="15.75" customHeight="1">
      <c r="A13" s="5">
        <v>10.0</v>
      </c>
      <c r="B13" s="4">
        <v>147.0</v>
      </c>
      <c r="C13" s="4">
        <v>119.0</v>
      </c>
      <c r="D13" s="4">
        <f t="shared" si="1"/>
        <v>28</v>
      </c>
      <c r="E13" s="4">
        <f t="shared" si="2"/>
        <v>130.5</v>
      </c>
      <c r="F13" s="4">
        <f t="shared" si="3"/>
        <v>16.5</v>
      </c>
      <c r="G13" s="4">
        <f t="shared" si="4"/>
        <v>143.6666667</v>
      </c>
      <c r="H13" s="4">
        <f t="shared" si="5"/>
        <v>3.333333333</v>
      </c>
      <c r="I13" s="4">
        <f t="shared" si="6"/>
        <v>159</v>
      </c>
      <c r="J13" s="4">
        <f t="shared" si="7"/>
        <v>12</v>
      </c>
    </row>
    <row r="14" ht="15.75" customHeight="1">
      <c r="A14" s="5">
        <v>11.0</v>
      </c>
      <c r="B14" s="4">
        <v>162.0</v>
      </c>
      <c r="C14" s="4">
        <v>147.0</v>
      </c>
      <c r="D14" s="4">
        <f t="shared" si="1"/>
        <v>15</v>
      </c>
      <c r="E14" s="4">
        <f t="shared" si="2"/>
        <v>133</v>
      </c>
      <c r="F14" s="4">
        <f t="shared" si="3"/>
        <v>29</v>
      </c>
      <c r="G14" s="4">
        <f t="shared" si="4"/>
        <v>136</v>
      </c>
      <c r="H14" s="4">
        <f t="shared" si="5"/>
        <v>26</v>
      </c>
      <c r="I14" s="4">
        <f t="shared" si="6"/>
        <v>144.5</v>
      </c>
      <c r="J14" s="4">
        <f t="shared" si="7"/>
        <v>17.5</v>
      </c>
    </row>
    <row r="15" ht="15.75" customHeight="1">
      <c r="A15" s="5">
        <v>12.0</v>
      </c>
      <c r="B15" s="4">
        <v>180.0</v>
      </c>
      <c r="C15" s="4">
        <v>162.0</v>
      </c>
      <c r="D15" s="4">
        <f t="shared" si="1"/>
        <v>18</v>
      </c>
      <c r="E15" s="4">
        <f t="shared" si="2"/>
        <v>154.5</v>
      </c>
      <c r="F15" s="4">
        <f t="shared" si="3"/>
        <v>25.5</v>
      </c>
      <c r="G15" s="4">
        <f t="shared" si="4"/>
        <v>142.6666667</v>
      </c>
      <c r="H15" s="4">
        <f t="shared" si="5"/>
        <v>37.33333333</v>
      </c>
      <c r="I15" s="4">
        <f t="shared" si="6"/>
        <v>142.5</v>
      </c>
      <c r="J15" s="4">
        <f t="shared" si="7"/>
        <v>37.5</v>
      </c>
    </row>
    <row r="16" ht="15.75" customHeight="1">
      <c r="A16" s="5">
        <v>13.0</v>
      </c>
      <c r="B16" s="4">
        <v>199.0</v>
      </c>
      <c r="C16" s="4">
        <v>180.0</v>
      </c>
      <c r="D16" s="4">
        <f t="shared" si="1"/>
        <v>19</v>
      </c>
      <c r="E16" s="4">
        <f t="shared" si="2"/>
        <v>171</v>
      </c>
      <c r="F16" s="4">
        <f t="shared" si="3"/>
        <v>28</v>
      </c>
      <c r="G16" s="4">
        <f t="shared" si="4"/>
        <v>163</v>
      </c>
      <c r="H16" s="4">
        <f t="shared" si="5"/>
        <v>36</v>
      </c>
      <c r="I16" s="4">
        <f t="shared" si="6"/>
        <v>152</v>
      </c>
      <c r="J16" s="4">
        <f t="shared" si="7"/>
        <v>47</v>
      </c>
    </row>
    <row r="17" ht="15.75" customHeight="1">
      <c r="A17" s="5">
        <v>14.0</v>
      </c>
      <c r="B17" s="4">
        <v>220.0</v>
      </c>
      <c r="C17" s="4">
        <v>199.0</v>
      </c>
      <c r="D17" s="4">
        <f t="shared" si="1"/>
        <v>21</v>
      </c>
      <c r="E17" s="4">
        <f t="shared" si="2"/>
        <v>189.5</v>
      </c>
      <c r="F17" s="4">
        <f t="shared" si="3"/>
        <v>30.5</v>
      </c>
      <c r="G17" s="4">
        <f t="shared" si="4"/>
        <v>180.3333333</v>
      </c>
      <c r="H17" s="4">
        <f t="shared" si="5"/>
        <v>39.66666667</v>
      </c>
      <c r="I17" s="4">
        <f t="shared" si="6"/>
        <v>172</v>
      </c>
      <c r="J17" s="4">
        <f t="shared" si="7"/>
        <v>48</v>
      </c>
    </row>
    <row r="18" ht="15.75" customHeight="1">
      <c r="A18" s="5">
        <v>15.0</v>
      </c>
      <c r="B18" s="4">
        <v>208.0</v>
      </c>
      <c r="C18" s="4">
        <v>220.0</v>
      </c>
      <c r="D18" s="4">
        <f t="shared" si="1"/>
        <v>12</v>
      </c>
      <c r="E18" s="4">
        <f t="shared" si="2"/>
        <v>209.5</v>
      </c>
      <c r="F18" s="4">
        <f t="shared" si="3"/>
        <v>1.5</v>
      </c>
      <c r="G18" s="4">
        <f t="shared" si="4"/>
        <v>199.6666667</v>
      </c>
      <c r="H18" s="4">
        <f t="shared" si="5"/>
        <v>8.333333333</v>
      </c>
      <c r="I18" s="4">
        <f t="shared" si="6"/>
        <v>190.25</v>
      </c>
      <c r="J18" s="4">
        <f t="shared" si="7"/>
        <v>17.75</v>
      </c>
    </row>
    <row r="19" ht="15.75" customHeight="1">
      <c r="A19" s="5">
        <v>16.0</v>
      </c>
      <c r="B19" s="4">
        <v>175.0</v>
      </c>
      <c r="C19" s="4">
        <v>208.0</v>
      </c>
      <c r="D19" s="4">
        <f t="shared" si="1"/>
        <v>33</v>
      </c>
      <c r="E19" s="4">
        <f t="shared" si="2"/>
        <v>214</v>
      </c>
      <c r="F19" s="4">
        <f t="shared" si="3"/>
        <v>39</v>
      </c>
      <c r="G19" s="4">
        <f t="shared" si="4"/>
        <v>209</v>
      </c>
      <c r="H19" s="4">
        <f t="shared" si="5"/>
        <v>34</v>
      </c>
      <c r="I19" s="4">
        <f t="shared" si="6"/>
        <v>201.75</v>
      </c>
      <c r="J19" s="4">
        <f t="shared" si="7"/>
        <v>26.75</v>
      </c>
    </row>
    <row r="20" ht="15.75" customHeight="1">
      <c r="A20" s="5">
        <v>17.0</v>
      </c>
      <c r="B20" s="4">
        <v>140.0</v>
      </c>
      <c r="C20" s="4">
        <v>175.0</v>
      </c>
      <c r="D20" s="4">
        <f t="shared" si="1"/>
        <v>35</v>
      </c>
      <c r="E20" s="4">
        <f t="shared" si="2"/>
        <v>191.5</v>
      </c>
      <c r="F20" s="4">
        <f t="shared" si="3"/>
        <v>51.5</v>
      </c>
      <c r="G20" s="4">
        <f t="shared" si="4"/>
        <v>201</v>
      </c>
      <c r="H20" s="4">
        <f t="shared" si="5"/>
        <v>61</v>
      </c>
      <c r="I20" s="4">
        <f t="shared" si="6"/>
        <v>200.5</v>
      </c>
      <c r="J20" s="4">
        <f t="shared" si="7"/>
        <v>60.5</v>
      </c>
    </row>
    <row r="21" ht="15.75" customHeight="1">
      <c r="A21" s="5">
        <v>18.0</v>
      </c>
      <c r="B21" s="4">
        <v>121.0</v>
      </c>
      <c r="C21" s="4">
        <v>140.0</v>
      </c>
      <c r="D21" s="4">
        <f t="shared" si="1"/>
        <v>19</v>
      </c>
      <c r="E21" s="4">
        <f t="shared" si="2"/>
        <v>157.5</v>
      </c>
      <c r="F21" s="4">
        <f t="shared" si="3"/>
        <v>36.5</v>
      </c>
      <c r="G21" s="4">
        <f t="shared" si="4"/>
        <v>174.3333333</v>
      </c>
      <c r="H21" s="4">
        <f t="shared" si="5"/>
        <v>53.33333333</v>
      </c>
      <c r="I21" s="4">
        <f t="shared" si="6"/>
        <v>185.75</v>
      </c>
      <c r="J21" s="4">
        <f t="shared" si="7"/>
        <v>64.75</v>
      </c>
    </row>
    <row r="22" ht="15.75" customHeight="1">
      <c r="A22" s="5">
        <v>19.0</v>
      </c>
      <c r="B22" s="4">
        <v>146.0</v>
      </c>
      <c r="C22" s="4">
        <v>121.0</v>
      </c>
      <c r="D22" s="4">
        <f t="shared" si="1"/>
        <v>25</v>
      </c>
      <c r="E22" s="4">
        <f t="shared" si="2"/>
        <v>130.5</v>
      </c>
      <c r="F22" s="4">
        <f t="shared" si="3"/>
        <v>15.5</v>
      </c>
      <c r="G22" s="4">
        <f t="shared" si="4"/>
        <v>145.3333333</v>
      </c>
      <c r="H22" s="4">
        <f t="shared" si="5"/>
        <v>0.6666666667</v>
      </c>
      <c r="I22" s="4">
        <f t="shared" si="6"/>
        <v>161</v>
      </c>
      <c r="J22" s="4">
        <f t="shared" si="7"/>
        <v>15</v>
      </c>
    </row>
    <row r="23" ht="15.75" customHeight="1">
      <c r="A23" s="5">
        <v>20.0</v>
      </c>
      <c r="B23" s="4">
        <v>160.0</v>
      </c>
      <c r="C23" s="4">
        <v>146.0</v>
      </c>
      <c r="D23" s="4">
        <f t="shared" si="1"/>
        <v>14</v>
      </c>
      <c r="E23" s="4">
        <f t="shared" si="2"/>
        <v>133.5</v>
      </c>
      <c r="F23" s="4">
        <f t="shared" si="3"/>
        <v>26.5</v>
      </c>
      <c r="G23" s="4">
        <f t="shared" si="4"/>
        <v>135.6666667</v>
      </c>
      <c r="H23" s="4">
        <f t="shared" si="5"/>
        <v>24.33333333</v>
      </c>
      <c r="I23" s="4">
        <f t="shared" si="6"/>
        <v>145.5</v>
      </c>
      <c r="J23" s="4">
        <f t="shared" si="7"/>
        <v>14.5</v>
      </c>
    </row>
    <row r="24" ht="15.75" customHeight="1">
      <c r="A24" s="4"/>
      <c r="B24" s="4"/>
      <c r="C24" s="4">
        <v>160.0</v>
      </c>
      <c r="D24" s="4"/>
      <c r="E24" s="4">
        <f t="shared" si="2"/>
        <v>153</v>
      </c>
      <c r="F24" s="4"/>
      <c r="G24" s="4">
        <f t="shared" si="4"/>
        <v>142.3333333</v>
      </c>
      <c r="H24" s="4"/>
      <c r="I24" s="4">
        <f t="shared" si="6"/>
        <v>141.75</v>
      </c>
      <c r="J24" s="4"/>
    </row>
    <row r="25" ht="15.75" customHeight="1">
      <c r="A25" s="11" t="s">
        <v>9</v>
      </c>
      <c r="B25" s="12">
        <v>10.0</v>
      </c>
    </row>
    <row r="26" ht="15.75" customHeight="1">
      <c r="C26" s="11" t="s">
        <v>8</v>
      </c>
      <c r="D26" s="13">
        <f>AVERAGE(D5:D23)</f>
        <v>21.31578947</v>
      </c>
      <c r="F26" s="11" t="s">
        <v>8</v>
      </c>
      <c r="G26" s="13">
        <f>AVERAGE(F6:F23)</f>
        <v>27.97222222</v>
      </c>
      <c r="H26" s="11" t="s">
        <v>8</v>
      </c>
      <c r="I26" s="13">
        <f>AVERAGE(H7:H23)</f>
        <v>32.23529412</v>
      </c>
      <c r="J26" s="11" t="s">
        <v>8</v>
      </c>
      <c r="K26" s="13">
        <f>AVERAGE(J8:J23)</f>
        <v>35.578125</v>
      </c>
    </row>
    <row r="27" ht="15.75" customHeight="1"/>
    <row r="28" ht="15.75" customHeight="1"/>
    <row r="29" ht="15.75" customHeight="1"/>
    <row r="30" ht="15.75" customHeight="1">
      <c r="A30" s="4"/>
      <c r="B30" s="5" t="s">
        <v>42</v>
      </c>
      <c r="C30" s="5" t="s">
        <v>11</v>
      </c>
      <c r="D30" s="5" t="s">
        <v>3</v>
      </c>
      <c r="E30" s="5" t="s">
        <v>11</v>
      </c>
      <c r="F30" s="5" t="s">
        <v>3</v>
      </c>
      <c r="J30" s="54" t="s">
        <v>13</v>
      </c>
      <c r="K30" s="13">
        <v>0.1</v>
      </c>
    </row>
    <row r="31" ht="15.75" customHeight="1">
      <c r="A31" s="5">
        <v>1.0</v>
      </c>
      <c r="B31" s="4">
        <v>145.0</v>
      </c>
      <c r="C31" s="4">
        <v>145.0</v>
      </c>
      <c r="D31" s="4">
        <f t="shared" ref="D31:D50" si="8">ABS(B31-C31)</f>
        <v>0</v>
      </c>
      <c r="E31" s="4"/>
      <c r="F31" s="4"/>
      <c r="J31" s="54" t="s">
        <v>13</v>
      </c>
      <c r="K31" s="13">
        <v>0.5</v>
      </c>
    </row>
    <row r="32" ht="15.75" customHeight="1">
      <c r="A32" s="5">
        <v>2.0</v>
      </c>
      <c r="B32" s="4">
        <v>164.0</v>
      </c>
      <c r="C32" s="4">
        <f t="shared" ref="C32:C51" si="9">C31+$K$30*(B31-C31)</f>
        <v>145</v>
      </c>
      <c r="D32" s="4">
        <f t="shared" si="8"/>
        <v>19</v>
      </c>
      <c r="E32" s="4">
        <f t="shared" ref="E32:E51" si="10">C31+$K$31*(B31-C31)</f>
        <v>145</v>
      </c>
      <c r="F32" s="4">
        <f t="shared" ref="F32:F50" si="11">ABS(B32-E32)</f>
        <v>19</v>
      </c>
    </row>
    <row r="33" ht="15.75" customHeight="1">
      <c r="A33" s="5">
        <v>3.0</v>
      </c>
      <c r="B33" s="4">
        <v>178.0</v>
      </c>
      <c r="C33" s="4">
        <f t="shared" si="9"/>
        <v>146.9</v>
      </c>
      <c r="D33" s="4">
        <f t="shared" si="8"/>
        <v>31.1</v>
      </c>
      <c r="E33" s="4">
        <f t="shared" si="10"/>
        <v>154.5</v>
      </c>
      <c r="F33" s="4">
        <f t="shared" si="11"/>
        <v>23.5</v>
      </c>
    </row>
    <row r="34" ht="15.75" customHeight="1">
      <c r="A34" s="5">
        <v>4.0</v>
      </c>
      <c r="B34" s="4">
        <v>200.0</v>
      </c>
      <c r="C34" s="4">
        <f t="shared" si="9"/>
        <v>150.01</v>
      </c>
      <c r="D34" s="4">
        <f t="shared" si="8"/>
        <v>49.99</v>
      </c>
      <c r="E34" s="4">
        <f t="shared" si="10"/>
        <v>162.45</v>
      </c>
      <c r="F34" s="4">
        <f t="shared" si="11"/>
        <v>37.55</v>
      </c>
      <c r="R34" s="18" t="s">
        <v>14</v>
      </c>
      <c r="S34" s="18" t="s">
        <v>15</v>
      </c>
      <c r="T34" s="18" t="s">
        <v>16</v>
      </c>
      <c r="U34" s="18" t="s">
        <v>17</v>
      </c>
      <c r="V34" s="19"/>
    </row>
    <row r="35" ht="15.75" customHeight="1">
      <c r="A35" s="5">
        <v>5.0</v>
      </c>
      <c r="B35" s="4">
        <v>215.0</v>
      </c>
      <c r="C35" s="4">
        <f t="shared" si="9"/>
        <v>155.009</v>
      </c>
      <c r="D35" s="4">
        <f t="shared" si="8"/>
        <v>59.991</v>
      </c>
      <c r="E35" s="4">
        <f t="shared" si="10"/>
        <v>175.005</v>
      </c>
      <c r="F35" s="4">
        <f t="shared" si="11"/>
        <v>39.995</v>
      </c>
      <c r="R35" s="20">
        <v>1.0</v>
      </c>
      <c r="S35" s="21">
        <v>145.0</v>
      </c>
      <c r="T35" s="21">
        <v>147.0</v>
      </c>
      <c r="U35" s="21">
        <v>146.0</v>
      </c>
    </row>
    <row r="36" ht="15.75" customHeight="1">
      <c r="A36" s="5">
        <v>6.0</v>
      </c>
      <c r="B36" s="4">
        <v>205.0</v>
      </c>
      <c r="C36" s="4">
        <f t="shared" si="9"/>
        <v>161.0081</v>
      </c>
      <c r="D36" s="4">
        <f t="shared" si="8"/>
        <v>43.9919</v>
      </c>
      <c r="E36" s="4">
        <f t="shared" si="10"/>
        <v>185.0045</v>
      </c>
      <c r="F36" s="4">
        <f t="shared" si="11"/>
        <v>19.9955</v>
      </c>
      <c r="R36" s="20">
        <v>2.0</v>
      </c>
      <c r="S36" s="21">
        <v>164.0</v>
      </c>
      <c r="T36" s="21">
        <v>162.0</v>
      </c>
      <c r="U36" s="21">
        <v>160.0</v>
      </c>
    </row>
    <row r="37" ht="15.75" customHeight="1">
      <c r="A37" s="5">
        <v>7.0</v>
      </c>
      <c r="B37" s="4">
        <v>170.0</v>
      </c>
      <c r="C37" s="4">
        <f t="shared" si="9"/>
        <v>165.40729</v>
      </c>
      <c r="D37" s="4">
        <f t="shared" si="8"/>
        <v>4.59271</v>
      </c>
      <c r="E37" s="4">
        <f t="shared" si="10"/>
        <v>183.00405</v>
      </c>
      <c r="F37" s="4">
        <f t="shared" si="11"/>
        <v>13.00405</v>
      </c>
      <c r="R37" s="20">
        <v>3.0</v>
      </c>
      <c r="S37" s="21">
        <v>178.0</v>
      </c>
      <c r="T37" s="21">
        <v>180.0</v>
      </c>
      <c r="U37" s="21" t="s">
        <v>18</v>
      </c>
    </row>
    <row r="38" ht="15.75" customHeight="1">
      <c r="A38" s="5">
        <v>8.0</v>
      </c>
      <c r="B38" s="4">
        <v>142.0</v>
      </c>
      <c r="C38" s="4">
        <f t="shared" si="9"/>
        <v>165.866561</v>
      </c>
      <c r="D38" s="4">
        <f t="shared" si="8"/>
        <v>23.866561</v>
      </c>
      <c r="E38" s="4">
        <f t="shared" si="10"/>
        <v>167.703645</v>
      </c>
      <c r="F38" s="4">
        <f t="shared" si="11"/>
        <v>25.703645</v>
      </c>
      <c r="R38" s="20">
        <v>4.0</v>
      </c>
      <c r="S38" s="21">
        <v>200.0</v>
      </c>
      <c r="T38" s="21">
        <v>199.0</v>
      </c>
      <c r="U38" s="21" t="s">
        <v>19</v>
      </c>
    </row>
    <row r="39" ht="15.75" customHeight="1">
      <c r="A39" s="5">
        <v>9.0</v>
      </c>
      <c r="B39" s="4">
        <v>119.0</v>
      </c>
      <c r="C39" s="4">
        <f t="shared" si="9"/>
        <v>163.4799049</v>
      </c>
      <c r="D39" s="4">
        <f t="shared" si="8"/>
        <v>44.4799049</v>
      </c>
      <c r="E39" s="4">
        <f t="shared" si="10"/>
        <v>153.9332805</v>
      </c>
      <c r="F39" s="4">
        <f t="shared" si="11"/>
        <v>34.9332805</v>
      </c>
      <c r="R39" s="20">
        <v>5.0</v>
      </c>
      <c r="S39" s="21">
        <v>215.0</v>
      </c>
      <c r="T39" s="21">
        <v>220.0</v>
      </c>
      <c r="U39" s="21" t="s">
        <v>20</v>
      </c>
    </row>
    <row r="40" ht="15.75" customHeight="1">
      <c r="A40" s="5">
        <v>10.0</v>
      </c>
      <c r="B40" s="4">
        <v>147.0</v>
      </c>
      <c r="C40" s="4">
        <f t="shared" si="9"/>
        <v>159.0319144</v>
      </c>
      <c r="D40" s="4">
        <f t="shared" si="8"/>
        <v>12.03191441</v>
      </c>
      <c r="E40" s="4">
        <f t="shared" si="10"/>
        <v>141.2399525</v>
      </c>
      <c r="F40" s="4">
        <f t="shared" si="11"/>
        <v>5.76004755</v>
      </c>
      <c r="R40" s="20">
        <v>6.0</v>
      </c>
      <c r="S40" s="21">
        <v>205.0</v>
      </c>
      <c r="T40" s="21">
        <v>208.0</v>
      </c>
      <c r="U40" s="21" t="s">
        <v>21</v>
      </c>
    </row>
    <row r="41" ht="15.75" customHeight="1">
      <c r="A41" s="5">
        <v>11.0</v>
      </c>
      <c r="B41" s="4">
        <v>162.0</v>
      </c>
      <c r="C41" s="4">
        <f t="shared" si="9"/>
        <v>157.828723</v>
      </c>
      <c r="D41" s="4">
        <f t="shared" si="8"/>
        <v>4.171277031</v>
      </c>
      <c r="E41" s="4">
        <f t="shared" si="10"/>
        <v>153.0159572</v>
      </c>
      <c r="F41" s="4">
        <f t="shared" si="11"/>
        <v>8.984042795</v>
      </c>
      <c r="R41" s="20">
        <v>7.0</v>
      </c>
      <c r="S41" s="21">
        <v>170.0</v>
      </c>
      <c r="T41" s="21">
        <v>175.0</v>
      </c>
      <c r="U41" s="21" t="s">
        <v>22</v>
      </c>
    </row>
    <row r="42" ht="15.75" customHeight="1">
      <c r="A42" s="5">
        <v>12.0</v>
      </c>
      <c r="B42" s="4">
        <v>180.0</v>
      </c>
      <c r="C42" s="4">
        <f t="shared" si="9"/>
        <v>158.2458507</v>
      </c>
      <c r="D42" s="4">
        <f t="shared" si="8"/>
        <v>21.75414933</v>
      </c>
      <c r="E42" s="4">
        <f t="shared" si="10"/>
        <v>159.9143615</v>
      </c>
      <c r="F42" s="4">
        <f t="shared" si="11"/>
        <v>20.08563852</v>
      </c>
      <c r="R42" s="20">
        <v>8.0</v>
      </c>
      <c r="S42" s="21">
        <v>142.0</v>
      </c>
      <c r="T42" s="21">
        <v>140.0</v>
      </c>
      <c r="U42" s="21"/>
    </row>
    <row r="43" ht="15.75" customHeight="1">
      <c r="A43" s="5">
        <v>13.0</v>
      </c>
      <c r="B43" s="4">
        <v>199.0</v>
      </c>
      <c r="C43" s="4">
        <f t="shared" si="9"/>
        <v>160.4212656</v>
      </c>
      <c r="D43" s="4">
        <f t="shared" si="8"/>
        <v>38.5787344</v>
      </c>
      <c r="E43" s="4">
        <f t="shared" si="10"/>
        <v>169.1229253</v>
      </c>
      <c r="F43" s="4">
        <f t="shared" si="11"/>
        <v>29.87707466</v>
      </c>
      <c r="R43" s="20">
        <v>9.0</v>
      </c>
      <c r="S43" s="21">
        <v>119.0</v>
      </c>
      <c r="T43" s="21">
        <v>121.0</v>
      </c>
      <c r="U43" s="21"/>
    </row>
    <row r="44" ht="15.75" customHeight="1">
      <c r="A44" s="5">
        <v>14.0</v>
      </c>
      <c r="B44" s="4">
        <v>220.0</v>
      </c>
      <c r="C44" s="4">
        <f t="shared" si="9"/>
        <v>164.279139</v>
      </c>
      <c r="D44" s="4">
        <f t="shared" si="8"/>
        <v>55.72086096</v>
      </c>
      <c r="E44" s="4">
        <f t="shared" si="10"/>
        <v>179.7106328</v>
      </c>
      <c r="F44" s="4">
        <f t="shared" si="11"/>
        <v>40.2893672</v>
      </c>
      <c r="R44" s="21" t="s">
        <v>23</v>
      </c>
      <c r="S44" s="21">
        <f t="shared" ref="S44:T44" si="12">SUM(S35:S43)</f>
        <v>1538</v>
      </c>
      <c r="T44" s="21">
        <f t="shared" si="12"/>
        <v>1552</v>
      </c>
      <c r="U44" s="24">
        <v>1600.0</v>
      </c>
      <c r="V44" s="25" t="s">
        <v>24</v>
      </c>
    </row>
    <row r="45" ht="15.75" customHeight="1">
      <c r="A45" s="5">
        <v>15.0</v>
      </c>
      <c r="B45" s="4">
        <v>208.0</v>
      </c>
      <c r="C45" s="4">
        <f t="shared" si="9"/>
        <v>169.8512251</v>
      </c>
      <c r="D45" s="4">
        <f t="shared" si="8"/>
        <v>38.14877486</v>
      </c>
      <c r="E45" s="4">
        <f t="shared" si="10"/>
        <v>192.1395695</v>
      </c>
      <c r="F45" s="4">
        <f t="shared" si="11"/>
        <v>15.86043048</v>
      </c>
      <c r="R45" s="21" t="s">
        <v>25</v>
      </c>
      <c r="S45" s="21">
        <f t="shared" ref="S45:T45" si="13">AVERAGE(S35:S43)</f>
        <v>170.8888889</v>
      </c>
      <c r="T45" s="21">
        <f t="shared" si="13"/>
        <v>172.4444444</v>
      </c>
      <c r="U45" s="21">
        <f>AVERAGE(U35:U36)</f>
        <v>153</v>
      </c>
    </row>
    <row r="46" ht="15.75" customHeight="1">
      <c r="A46" s="5">
        <v>16.0</v>
      </c>
      <c r="B46" s="4">
        <v>175.0</v>
      </c>
      <c r="C46" s="4">
        <f t="shared" si="9"/>
        <v>173.6661026</v>
      </c>
      <c r="D46" s="4">
        <f t="shared" si="8"/>
        <v>1.333897374</v>
      </c>
      <c r="E46" s="4">
        <f t="shared" si="10"/>
        <v>188.9256126</v>
      </c>
      <c r="F46" s="4">
        <f t="shared" si="11"/>
        <v>13.92561257</v>
      </c>
    </row>
    <row r="47" ht="15.75" customHeight="1">
      <c r="A47" s="5">
        <v>17.0</v>
      </c>
      <c r="B47" s="4">
        <v>140.0</v>
      </c>
      <c r="C47" s="4">
        <f t="shared" si="9"/>
        <v>173.7994924</v>
      </c>
      <c r="D47" s="4">
        <f t="shared" si="8"/>
        <v>33.79949236</v>
      </c>
      <c r="E47" s="4">
        <f t="shared" si="10"/>
        <v>174.3330513</v>
      </c>
      <c r="F47" s="4">
        <f t="shared" si="11"/>
        <v>34.33305131</v>
      </c>
    </row>
    <row r="48" ht="15.75" customHeight="1">
      <c r="A48" s="5">
        <v>18.0</v>
      </c>
      <c r="B48" s="4">
        <v>121.0</v>
      </c>
      <c r="C48" s="4">
        <f t="shared" si="9"/>
        <v>170.4195431</v>
      </c>
      <c r="D48" s="4">
        <f t="shared" si="8"/>
        <v>49.41954313</v>
      </c>
      <c r="E48" s="4">
        <f t="shared" si="10"/>
        <v>156.8997462</v>
      </c>
      <c r="F48" s="4">
        <f t="shared" si="11"/>
        <v>35.89974618</v>
      </c>
    </row>
    <row r="49" ht="15.75" customHeight="1">
      <c r="A49" s="5">
        <v>19.0</v>
      </c>
      <c r="B49" s="4">
        <v>146.0</v>
      </c>
      <c r="C49" s="4">
        <f t="shared" si="9"/>
        <v>165.4775888</v>
      </c>
      <c r="D49" s="4">
        <f t="shared" si="8"/>
        <v>19.47758881</v>
      </c>
      <c r="E49" s="4">
        <f t="shared" si="10"/>
        <v>145.7097716</v>
      </c>
      <c r="F49" s="4">
        <f t="shared" si="11"/>
        <v>0.2902284365</v>
      </c>
    </row>
    <row r="50" ht="15.75" customHeight="1">
      <c r="A50" s="5">
        <v>20.0</v>
      </c>
      <c r="B50" s="4">
        <v>160.0</v>
      </c>
      <c r="C50" s="4">
        <f t="shared" si="9"/>
        <v>163.5298299</v>
      </c>
      <c r="D50" s="4">
        <f t="shared" si="8"/>
        <v>3.529829933</v>
      </c>
      <c r="E50" s="4">
        <f t="shared" si="10"/>
        <v>155.7387944</v>
      </c>
      <c r="F50" s="4">
        <f t="shared" si="11"/>
        <v>4.261205593</v>
      </c>
    </row>
    <row r="51" ht="15.75" customHeight="1">
      <c r="A51" s="4"/>
      <c r="B51" s="4"/>
      <c r="C51" s="4">
        <f t="shared" si="9"/>
        <v>163.1768469</v>
      </c>
      <c r="D51" s="4"/>
      <c r="E51" s="4">
        <f t="shared" si="10"/>
        <v>161.764915</v>
      </c>
      <c r="F51" s="4"/>
      <c r="Q51" s="28" t="s">
        <v>14</v>
      </c>
      <c r="R51" s="28" t="s">
        <v>15</v>
      </c>
      <c r="S51" s="28" t="s">
        <v>16</v>
      </c>
      <c r="T51" s="28" t="s">
        <v>17</v>
      </c>
      <c r="U51" s="28" t="s">
        <v>26</v>
      </c>
      <c r="V51" s="28" t="s">
        <v>27</v>
      </c>
      <c r="W51" s="28" t="s">
        <v>28</v>
      </c>
    </row>
    <row r="52" ht="15.75" customHeight="1">
      <c r="Q52" s="29"/>
      <c r="R52" s="29"/>
      <c r="S52" s="29"/>
      <c r="T52" s="29"/>
      <c r="U52" s="29"/>
      <c r="V52" s="29"/>
      <c r="W52" s="29"/>
    </row>
    <row r="53" ht="15.75" customHeight="1">
      <c r="C53" s="11" t="s">
        <v>8</v>
      </c>
      <c r="D53" s="13">
        <f>AVERAGE(D31:D50)</f>
        <v>27.74890692</v>
      </c>
      <c r="F53" s="11" t="s">
        <v>8</v>
      </c>
      <c r="G53" s="13">
        <f>AVERAGE(F32:F50)</f>
        <v>22.27620636</v>
      </c>
      <c r="Q53" s="30">
        <v>1.0</v>
      </c>
      <c r="R53" s="31">
        <f t="shared" ref="R53:R61" si="14">S35/$S$45</f>
        <v>0.8485045514</v>
      </c>
      <c r="S53" s="31">
        <f t="shared" ref="S53:S61" si="15">T35/$T$45</f>
        <v>0.8524484536</v>
      </c>
      <c r="T53" s="31">
        <f>U35/U45</f>
        <v>0.954248366</v>
      </c>
      <c r="U53" s="31">
        <f t="shared" ref="U53:U61" si="16">AVERAGE(R53:T53)</f>
        <v>0.8850671237</v>
      </c>
      <c r="V53" s="32">
        <f t="shared" ref="V53:V62" si="17">U53*(9/$U$62)</f>
        <v>0.8785604707</v>
      </c>
      <c r="W53" s="33">
        <f t="shared" ref="W53:W62" si="18">($U$44/$V$62)*V53</f>
        <v>156.1885281</v>
      </c>
    </row>
    <row r="54" ht="15.75" customHeight="1">
      <c r="Q54" s="30">
        <v>2.0</v>
      </c>
      <c r="R54" s="31">
        <f t="shared" si="14"/>
        <v>0.9596879064</v>
      </c>
      <c r="S54" s="31">
        <f t="shared" si="15"/>
        <v>0.9394329897</v>
      </c>
      <c r="T54" s="31">
        <f>U36/U45</f>
        <v>1.045751634</v>
      </c>
      <c r="U54" s="31">
        <f t="shared" si="16"/>
        <v>0.9816241767</v>
      </c>
      <c r="V54" s="32">
        <f t="shared" si="17"/>
        <v>0.9744076756</v>
      </c>
      <c r="W54" s="33">
        <f t="shared" si="18"/>
        <v>173.2280312</v>
      </c>
    </row>
    <row r="55" ht="15.75" customHeight="1">
      <c r="Q55" s="30">
        <v>3.0</v>
      </c>
      <c r="R55" s="31">
        <f t="shared" si="14"/>
        <v>1.041612484</v>
      </c>
      <c r="S55" s="31">
        <f t="shared" si="15"/>
        <v>1.043814433</v>
      </c>
      <c r="T55" s="32" t="s">
        <v>18</v>
      </c>
      <c r="U55" s="31">
        <f t="shared" si="16"/>
        <v>1.042713458</v>
      </c>
      <c r="V55" s="32">
        <f t="shared" si="17"/>
        <v>1.035047854</v>
      </c>
      <c r="W55" s="33">
        <f t="shared" si="18"/>
        <v>184.0085073</v>
      </c>
    </row>
    <row r="56" ht="15.75" customHeight="1">
      <c r="Q56" s="30">
        <v>4.0</v>
      </c>
      <c r="R56" s="31">
        <f t="shared" si="14"/>
        <v>1.170351105</v>
      </c>
      <c r="S56" s="31">
        <f t="shared" si="15"/>
        <v>1.153994845</v>
      </c>
      <c r="T56" s="30" t="s">
        <v>19</v>
      </c>
      <c r="U56" s="31">
        <f t="shared" si="16"/>
        <v>1.162172975</v>
      </c>
      <c r="V56" s="32">
        <f t="shared" si="17"/>
        <v>1.153629153</v>
      </c>
      <c r="W56" s="33">
        <f t="shared" si="18"/>
        <v>205.0896272</v>
      </c>
    </row>
    <row r="57" ht="15.75" customHeight="1">
      <c r="Q57" s="30">
        <v>5.0</v>
      </c>
      <c r="R57" s="31">
        <f t="shared" si="14"/>
        <v>1.258127438</v>
      </c>
      <c r="S57" s="31">
        <f t="shared" si="15"/>
        <v>1.275773196</v>
      </c>
      <c r="T57" s="30" t="s">
        <v>20</v>
      </c>
      <c r="U57" s="31">
        <f t="shared" si="16"/>
        <v>1.266950317</v>
      </c>
      <c r="V57" s="32">
        <f t="shared" si="17"/>
        <v>1.257636214</v>
      </c>
      <c r="W57" s="33">
        <f t="shared" si="18"/>
        <v>223.5797714</v>
      </c>
    </row>
    <row r="58" ht="15.75" customHeight="1">
      <c r="Q58" s="30">
        <v>6.0</v>
      </c>
      <c r="R58" s="31">
        <f t="shared" si="14"/>
        <v>1.199609883</v>
      </c>
      <c r="S58" s="31">
        <f t="shared" si="15"/>
        <v>1.206185567</v>
      </c>
      <c r="T58" s="30" t="s">
        <v>21</v>
      </c>
      <c r="U58" s="31">
        <f t="shared" si="16"/>
        <v>1.202897725</v>
      </c>
      <c r="V58" s="32">
        <f t="shared" si="17"/>
        <v>1.194054511</v>
      </c>
      <c r="W58" s="33">
        <f t="shared" si="18"/>
        <v>212.2763575</v>
      </c>
    </row>
    <row r="59" ht="15.75" customHeight="1">
      <c r="Q59" s="30">
        <v>7.0</v>
      </c>
      <c r="R59" s="31">
        <f t="shared" si="14"/>
        <v>0.9947984395</v>
      </c>
      <c r="S59" s="31">
        <f t="shared" si="15"/>
        <v>1.014819588</v>
      </c>
      <c r="T59" s="30" t="s">
        <v>22</v>
      </c>
      <c r="U59" s="31">
        <f t="shared" si="16"/>
        <v>1.004809014</v>
      </c>
      <c r="V59" s="32">
        <f t="shared" si="17"/>
        <v>0.997422067</v>
      </c>
      <c r="W59" s="33">
        <f t="shared" si="18"/>
        <v>177.3194786</v>
      </c>
    </row>
    <row r="60" ht="15.75" customHeight="1">
      <c r="Q60" s="30">
        <v>8.0</v>
      </c>
      <c r="R60" s="31">
        <f t="shared" si="14"/>
        <v>0.8309492848</v>
      </c>
      <c r="S60" s="31">
        <f t="shared" si="15"/>
        <v>0.8118556701</v>
      </c>
      <c r="T60" s="33"/>
      <c r="U60" s="31">
        <f t="shared" si="16"/>
        <v>0.8214024774</v>
      </c>
      <c r="V60" s="32">
        <f t="shared" si="17"/>
        <v>0.815363861</v>
      </c>
      <c r="W60" s="33">
        <f t="shared" si="18"/>
        <v>144.9535753</v>
      </c>
    </row>
    <row r="61" ht="15.75" customHeight="1">
      <c r="Q61" s="30">
        <v>9.0</v>
      </c>
      <c r="R61" s="31">
        <f t="shared" si="14"/>
        <v>0.6963589077</v>
      </c>
      <c r="S61" s="31">
        <f t="shared" si="15"/>
        <v>0.7016752577</v>
      </c>
      <c r="T61" s="33"/>
      <c r="U61" s="31">
        <f t="shared" si="16"/>
        <v>0.6990170827</v>
      </c>
      <c r="V61" s="32">
        <f t="shared" si="17"/>
        <v>0.6938781938</v>
      </c>
      <c r="W61" s="33">
        <f t="shared" si="18"/>
        <v>123.3561233</v>
      </c>
    </row>
    <row r="62" ht="15.75" customHeight="1">
      <c r="Q62" s="35"/>
      <c r="R62" s="35"/>
      <c r="S62" s="35"/>
      <c r="T62" s="35"/>
      <c r="U62" s="36">
        <f>SUM(U53:U61)</f>
        <v>9.06665435</v>
      </c>
      <c r="V62" s="32">
        <f t="shared" si="17"/>
        <v>9</v>
      </c>
      <c r="W62" s="33">
        <f t="shared" si="18"/>
        <v>1600</v>
      </c>
    </row>
    <row r="63" ht="15.75" customHeight="1"/>
    <row r="64" ht="15.75" customHeight="1"/>
    <row r="65" ht="15.75" customHeight="1">
      <c r="R65" s="37" t="s">
        <v>29</v>
      </c>
      <c r="S65" s="38" t="s">
        <v>30</v>
      </c>
      <c r="T65" s="39" t="s">
        <v>31</v>
      </c>
      <c r="U65" s="39" t="s">
        <v>32</v>
      </c>
    </row>
    <row r="66" ht="15.75" customHeight="1">
      <c r="R66" s="29"/>
      <c r="S66" s="40"/>
      <c r="T66" s="40"/>
      <c r="U66" s="40"/>
    </row>
    <row r="67" ht="15.75" customHeight="1">
      <c r="R67" s="41" t="s">
        <v>33</v>
      </c>
      <c r="S67" s="29"/>
      <c r="T67" s="29"/>
      <c r="U67" s="29"/>
    </row>
    <row r="68" ht="15.75" customHeight="1">
      <c r="R68" s="30">
        <v>1.0</v>
      </c>
      <c r="S68" s="21">
        <f t="shared" ref="S68:S87" si="19">B4</f>
        <v>145</v>
      </c>
      <c r="T68" s="42">
        <f t="shared" ref="T68:T76" si="20">$S$44/9*U53</f>
        <v>151.2481374</v>
      </c>
      <c r="U68" s="33">
        <f t="shared" ref="U68:U87" si="21">ABS(S68-T68)</f>
        <v>6.248137355</v>
      </c>
    </row>
    <row r="69" ht="15.75" customHeight="1">
      <c r="R69" s="30">
        <v>2.0</v>
      </c>
      <c r="S69" s="21">
        <f t="shared" si="19"/>
        <v>164</v>
      </c>
      <c r="T69" s="42">
        <f t="shared" si="20"/>
        <v>167.7486649</v>
      </c>
      <c r="U69" s="33">
        <f t="shared" si="21"/>
        <v>3.74866486</v>
      </c>
    </row>
    <row r="70" ht="15.75" customHeight="1">
      <c r="R70" s="30">
        <v>3.0</v>
      </c>
      <c r="S70" s="21">
        <f t="shared" si="19"/>
        <v>178</v>
      </c>
      <c r="T70" s="42">
        <f t="shared" si="20"/>
        <v>178.1881443</v>
      </c>
      <c r="U70" s="33">
        <f t="shared" si="21"/>
        <v>0.1881443299</v>
      </c>
    </row>
    <row r="71" ht="15.75" customHeight="1">
      <c r="R71" s="30">
        <v>4.0</v>
      </c>
      <c r="S71" s="21">
        <f t="shared" si="19"/>
        <v>200</v>
      </c>
      <c r="T71" s="42">
        <f t="shared" si="20"/>
        <v>198.6024485</v>
      </c>
      <c r="U71" s="33">
        <f t="shared" si="21"/>
        <v>1.397551546</v>
      </c>
    </row>
    <row r="72" ht="15.75" customHeight="1">
      <c r="R72" s="30">
        <v>5.0</v>
      </c>
      <c r="S72" s="21">
        <f t="shared" si="19"/>
        <v>215</v>
      </c>
      <c r="T72" s="42">
        <f t="shared" si="20"/>
        <v>216.507732</v>
      </c>
      <c r="U72" s="33">
        <f t="shared" si="21"/>
        <v>1.507731959</v>
      </c>
    </row>
    <row r="73" ht="15.75" customHeight="1">
      <c r="R73" s="30">
        <v>6.0</v>
      </c>
      <c r="S73" s="21">
        <f t="shared" si="19"/>
        <v>205</v>
      </c>
      <c r="T73" s="42">
        <f t="shared" si="20"/>
        <v>205.5618557</v>
      </c>
      <c r="U73" s="33">
        <f t="shared" si="21"/>
        <v>0.5618556701</v>
      </c>
    </row>
    <row r="74" ht="15.75" customHeight="1">
      <c r="R74" s="30">
        <v>7.0</v>
      </c>
      <c r="S74" s="21">
        <f t="shared" si="19"/>
        <v>170</v>
      </c>
      <c r="T74" s="42">
        <f t="shared" si="20"/>
        <v>171.7106959</v>
      </c>
      <c r="U74" s="33">
        <f t="shared" si="21"/>
        <v>1.710695876</v>
      </c>
    </row>
    <row r="75" ht="15.75" customHeight="1">
      <c r="R75" s="30">
        <v>8.0</v>
      </c>
      <c r="S75" s="21">
        <f t="shared" si="19"/>
        <v>142</v>
      </c>
      <c r="T75" s="42">
        <f t="shared" si="20"/>
        <v>140.3685567</v>
      </c>
      <c r="U75" s="33">
        <f t="shared" si="21"/>
        <v>1.631443299</v>
      </c>
    </row>
    <row r="76" ht="15.75" customHeight="1">
      <c r="R76" s="30">
        <v>9.0</v>
      </c>
      <c r="S76" s="21">
        <f t="shared" si="19"/>
        <v>119</v>
      </c>
      <c r="T76" s="42">
        <f t="shared" si="20"/>
        <v>119.4542526</v>
      </c>
      <c r="U76" s="33">
        <f t="shared" si="21"/>
        <v>0.4542525773</v>
      </c>
    </row>
    <row r="77" ht="15.75" customHeight="1">
      <c r="R77" s="30">
        <v>10.0</v>
      </c>
      <c r="S77" s="21">
        <f t="shared" si="19"/>
        <v>147</v>
      </c>
      <c r="T77" s="55">
        <f t="shared" ref="T77:T85" si="22">$T$44/9*U53</f>
        <v>152.6249084</v>
      </c>
      <c r="U77" s="33">
        <f t="shared" si="21"/>
        <v>5.624908436</v>
      </c>
    </row>
    <row r="78" ht="15.75" customHeight="1">
      <c r="R78" s="30">
        <v>11.0</v>
      </c>
      <c r="S78" s="21">
        <f t="shared" si="19"/>
        <v>162</v>
      </c>
      <c r="T78" s="55">
        <f t="shared" si="22"/>
        <v>169.2756358</v>
      </c>
      <c r="U78" s="33">
        <f t="shared" si="21"/>
        <v>7.275635801</v>
      </c>
    </row>
    <row r="79" ht="15.75" customHeight="1">
      <c r="R79" s="30">
        <v>12.0</v>
      </c>
      <c r="S79" s="21">
        <f t="shared" si="19"/>
        <v>180</v>
      </c>
      <c r="T79" s="55">
        <f t="shared" si="22"/>
        <v>179.810143</v>
      </c>
      <c r="U79" s="33">
        <f t="shared" si="21"/>
        <v>0.1898569571</v>
      </c>
    </row>
    <row r="80" ht="15.75" customHeight="1">
      <c r="R80" s="30">
        <v>13.0</v>
      </c>
      <c r="S80" s="21">
        <f t="shared" si="19"/>
        <v>199</v>
      </c>
      <c r="T80" s="55">
        <f t="shared" si="22"/>
        <v>200.4102731</v>
      </c>
      <c r="U80" s="33">
        <f t="shared" si="21"/>
        <v>1.410273082</v>
      </c>
    </row>
    <row r="81" ht="15.75" customHeight="1">
      <c r="R81" s="30">
        <v>14.0</v>
      </c>
      <c r="S81" s="21">
        <f t="shared" si="19"/>
        <v>220</v>
      </c>
      <c r="T81" s="55">
        <f t="shared" si="22"/>
        <v>218.4785436</v>
      </c>
      <c r="U81" s="33">
        <f t="shared" si="21"/>
        <v>1.521456437</v>
      </c>
    </row>
    <row r="82" ht="15.75" customHeight="1">
      <c r="R82" s="30">
        <v>15.0</v>
      </c>
      <c r="S82" s="21">
        <f t="shared" si="19"/>
        <v>208</v>
      </c>
      <c r="T82" s="55">
        <f t="shared" si="22"/>
        <v>207.4330299</v>
      </c>
      <c r="U82" s="33">
        <f t="shared" si="21"/>
        <v>0.566970091</v>
      </c>
    </row>
    <row r="83" ht="15.75" customHeight="1">
      <c r="R83" s="30">
        <v>16.0</v>
      </c>
      <c r="S83" s="21">
        <f t="shared" si="19"/>
        <v>175</v>
      </c>
      <c r="T83" s="55">
        <f t="shared" si="22"/>
        <v>173.2737321</v>
      </c>
      <c r="U83" s="33">
        <f t="shared" si="21"/>
        <v>1.72626788</v>
      </c>
    </row>
    <row r="84" ht="15.75" customHeight="1">
      <c r="R84" s="30">
        <v>17.0</v>
      </c>
      <c r="S84" s="21">
        <f t="shared" si="19"/>
        <v>140</v>
      </c>
      <c r="T84" s="55">
        <f t="shared" si="22"/>
        <v>141.6462939</v>
      </c>
      <c r="U84" s="33">
        <f t="shared" si="21"/>
        <v>1.646293888</v>
      </c>
    </row>
    <row r="85" ht="15.75" customHeight="1">
      <c r="R85" s="30">
        <v>18.0</v>
      </c>
      <c r="S85" s="21">
        <f t="shared" si="19"/>
        <v>121</v>
      </c>
      <c r="T85" s="55">
        <f t="shared" si="22"/>
        <v>120.5416125</v>
      </c>
      <c r="U85" s="33">
        <f t="shared" si="21"/>
        <v>0.4583875163</v>
      </c>
    </row>
    <row r="86" ht="15.75" customHeight="1">
      <c r="R86" s="30">
        <v>19.0</v>
      </c>
      <c r="S86" s="21">
        <f t="shared" si="19"/>
        <v>146</v>
      </c>
      <c r="T86" s="42">
        <f t="shared" ref="T86:T92" si="23">W53</f>
        <v>156.1885281</v>
      </c>
      <c r="U86" s="33">
        <f t="shared" si="21"/>
        <v>10.18852812</v>
      </c>
    </row>
    <row r="87" ht="15.75" customHeight="1">
      <c r="R87" s="30">
        <v>20.0</v>
      </c>
      <c r="S87" s="21">
        <f t="shared" si="19"/>
        <v>160</v>
      </c>
      <c r="T87" s="42">
        <f t="shared" si="23"/>
        <v>173.2280312</v>
      </c>
      <c r="U87" s="33">
        <f t="shared" si="21"/>
        <v>13.22803121</v>
      </c>
    </row>
    <row r="88" ht="15.75" customHeight="1">
      <c r="R88" s="30">
        <v>21.0</v>
      </c>
      <c r="S88" s="32"/>
      <c r="T88" s="42">
        <f t="shared" si="23"/>
        <v>184.0085073</v>
      </c>
      <c r="U88" s="32"/>
    </row>
    <row r="89" ht="15.75" customHeight="1">
      <c r="R89" s="30">
        <v>22.0</v>
      </c>
      <c r="S89" s="32"/>
      <c r="T89" s="42">
        <f t="shared" si="23"/>
        <v>205.0896272</v>
      </c>
      <c r="U89" s="32"/>
    </row>
    <row r="90" ht="15.75" customHeight="1">
      <c r="R90" s="30">
        <v>23.0</v>
      </c>
      <c r="S90" s="32"/>
      <c r="T90" s="42">
        <f t="shared" si="23"/>
        <v>223.5797714</v>
      </c>
      <c r="U90" s="32"/>
    </row>
    <row r="91" ht="15.75" customHeight="1">
      <c r="R91" s="30">
        <v>24.0</v>
      </c>
      <c r="S91" s="32"/>
      <c r="T91" s="42">
        <f t="shared" si="23"/>
        <v>212.2763575</v>
      </c>
      <c r="U91" s="32"/>
    </row>
    <row r="92" ht="15.75" customHeight="1">
      <c r="R92" s="30">
        <v>25.0</v>
      </c>
      <c r="S92" s="32"/>
      <c r="T92" s="42">
        <f t="shared" si="23"/>
        <v>177.3194786</v>
      </c>
      <c r="U92" s="32"/>
    </row>
    <row r="93" ht="15.75" customHeight="1">
      <c r="R93" s="19"/>
      <c r="S93" s="19"/>
      <c r="T93" s="45" t="s">
        <v>8</v>
      </c>
      <c r="U93" s="46">
        <f>AVERAGE(U68:U87)</f>
        <v>3.064254345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R65:R66"/>
    <mergeCell ref="S65:S67"/>
    <mergeCell ref="T65:T67"/>
    <mergeCell ref="U65:U67"/>
    <mergeCell ref="Q51:Q52"/>
    <mergeCell ref="R51:R52"/>
    <mergeCell ref="S51:S52"/>
    <mergeCell ref="T51:T52"/>
    <mergeCell ref="U51:U52"/>
    <mergeCell ref="V51:V52"/>
    <mergeCell ref="W51:W5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22"/>
  </cols>
  <sheetData>
    <row r="3">
      <c r="A3" s="1"/>
      <c r="B3" s="1"/>
      <c r="C3" s="1"/>
      <c r="D3" s="1"/>
      <c r="E3" s="1"/>
      <c r="F3" s="2" t="s">
        <v>43</v>
      </c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7">
      <c r="A7" s="51" t="s">
        <v>44</v>
      </c>
      <c r="B7" s="51">
        <v>0.9</v>
      </c>
    </row>
    <row r="9">
      <c r="A9" s="56" t="s">
        <v>45</v>
      </c>
      <c r="B9" s="56" t="s">
        <v>46</v>
      </c>
      <c r="C9" s="56" t="s">
        <v>37</v>
      </c>
      <c r="D9" s="56" t="s">
        <v>38</v>
      </c>
      <c r="E9" s="56" t="s">
        <v>39</v>
      </c>
      <c r="F9" s="56" t="s">
        <v>40</v>
      </c>
      <c r="G9" s="56" t="s">
        <v>31</v>
      </c>
      <c r="H9" s="56" t="s">
        <v>32</v>
      </c>
    </row>
    <row r="10">
      <c r="A10" s="57">
        <v>1.0</v>
      </c>
      <c r="B10" s="58">
        <v>145.0</v>
      </c>
      <c r="C10" s="59">
        <v>145.0</v>
      </c>
      <c r="D10" s="4">
        <f>145</f>
        <v>145</v>
      </c>
      <c r="E10" s="59">
        <v>145.0</v>
      </c>
      <c r="F10" s="4">
        <f>((B11-B10)+(B13-B12))/2</f>
        <v>20.5</v>
      </c>
      <c r="G10" s="4"/>
      <c r="H10" s="4"/>
    </row>
    <row r="11">
      <c r="A11" s="57">
        <v>2.0</v>
      </c>
      <c r="B11" s="58">
        <v>164.0</v>
      </c>
      <c r="C11" s="4">
        <f t="shared" ref="C11:D11" si="1">$B$7*B11+(1-$B$7)*C10</f>
        <v>162.1</v>
      </c>
      <c r="D11" s="4">
        <f t="shared" si="1"/>
        <v>160.39</v>
      </c>
      <c r="E11" s="4">
        <f t="shared" ref="E11:E29" si="3">(2*C11)-D11</f>
        <v>163.81</v>
      </c>
      <c r="F11" s="4">
        <f>($B$7/(1-$B$7))*(C11-D11)</f>
        <v>15.39</v>
      </c>
      <c r="G11" s="4">
        <f t="shared" ref="G11:G29" si="4">E10+F10</f>
        <v>165.5</v>
      </c>
      <c r="H11" s="4">
        <f t="shared" ref="H11:H29" si="5">ABS(B11-G11)</f>
        <v>1.5</v>
      </c>
    </row>
    <row r="12">
      <c r="A12" s="57">
        <v>3.0</v>
      </c>
      <c r="B12" s="58">
        <v>178.0</v>
      </c>
      <c r="C12" s="4">
        <f t="shared" ref="C12:D12" si="2">$B$7*B12+(1-$B$7)*C11</f>
        <v>176.41</v>
      </c>
      <c r="D12" s="4">
        <f t="shared" si="2"/>
        <v>174.808</v>
      </c>
      <c r="E12" s="4">
        <f t="shared" si="3"/>
        <v>178.012</v>
      </c>
      <c r="F12" s="4">
        <f t="shared" ref="F12:F29" si="7">($B$7/(1-$B$7)*(C12-D12))</f>
        <v>14.418</v>
      </c>
      <c r="G12" s="4">
        <f t="shared" si="4"/>
        <v>179.2</v>
      </c>
      <c r="H12" s="4">
        <f t="shared" si="5"/>
        <v>1.2</v>
      </c>
    </row>
    <row r="13">
      <c r="A13" s="57">
        <v>4.0</v>
      </c>
      <c r="B13" s="58">
        <v>200.0</v>
      </c>
      <c r="C13" s="4">
        <f t="shared" ref="C13:D13" si="6">$B$7*B13+(1-$B$7)*C12</f>
        <v>197.641</v>
      </c>
      <c r="D13" s="4">
        <f t="shared" si="6"/>
        <v>195.3577</v>
      </c>
      <c r="E13" s="4">
        <f t="shared" si="3"/>
        <v>199.9243</v>
      </c>
      <c r="F13" s="4">
        <f t="shared" si="7"/>
        <v>20.5497</v>
      </c>
      <c r="G13" s="4">
        <f t="shared" si="4"/>
        <v>192.43</v>
      </c>
      <c r="H13" s="4">
        <f t="shared" si="5"/>
        <v>7.57</v>
      </c>
    </row>
    <row r="14">
      <c r="A14" s="57">
        <v>5.0</v>
      </c>
      <c r="B14" s="58">
        <v>215.0</v>
      </c>
      <c r="C14" s="4">
        <f t="shared" ref="C14:D14" si="8">$B$7*B14+(1-$B$7)*C13</f>
        <v>213.2641</v>
      </c>
      <c r="D14" s="4">
        <f t="shared" si="8"/>
        <v>211.47346</v>
      </c>
      <c r="E14" s="4">
        <f t="shared" si="3"/>
        <v>215.05474</v>
      </c>
      <c r="F14" s="4">
        <f t="shared" si="7"/>
        <v>16.11576</v>
      </c>
      <c r="G14" s="4">
        <f t="shared" si="4"/>
        <v>220.474</v>
      </c>
      <c r="H14" s="4">
        <f t="shared" si="5"/>
        <v>5.474</v>
      </c>
    </row>
    <row r="15">
      <c r="A15" s="57">
        <v>6.0</v>
      </c>
      <c r="B15" s="58">
        <v>205.0</v>
      </c>
      <c r="C15" s="4">
        <f t="shared" ref="C15:D15" si="9">$B$7*B15+(1-$B$7)*C14</f>
        <v>205.82641</v>
      </c>
      <c r="D15" s="4">
        <f t="shared" si="9"/>
        <v>206.391115</v>
      </c>
      <c r="E15" s="4">
        <f t="shared" si="3"/>
        <v>205.261705</v>
      </c>
      <c r="F15" s="4">
        <f t="shared" si="7"/>
        <v>-5.082345</v>
      </c>
      <c r="G15" s="4">
        <f t="shared" si="4"/>
        <v>231.1705</v>
      </c>
      <c r="H15" s="4">
        <f t="shared" si="5"/>
        <v>26.1705</v>
      </c>
    </row>
    <row r="16">
      <c r="A16" s="57">
        <v>7.0</v>
      </c>
      <c r="B16" s="58">
        <v>170.0</v>
      </c>
      <c r="C16" s="4">
        <f t="shared" ref="C16:D16" si="10">$B$7*B16+(1-$B$7)*C15</f>
        <v>173.582641</v>
      </c>
      <c r="D16" s="4">
        <f t="shared" si="10"/>
        <v>176.8634884</v>
      </c>
      <c r="E16" s="4">
        <f t="shared" si="3"/>
        <v>170.3017936</v>
      </c>
      <c r="F16" s="4">
        <f t="shared" si="7"/>
        <v>-29.5276266</v>
      </c>
      <c r="G16" s="4">
        <f t="shared" si="4"/>
        <v>200.17936</v>
      </c>
      <c r="H16" s="4">
        <f t="shared" si="5"/>
        <v>30.17936</v>
      </c>
    </row>
    <row r="17">
      <c r="A17" s="57">
        <v>8.0</v>
      </c>
      <c r="B17" s="58">
        <v>142.0</v>
      </c>
      <c r="C17" s="4">
        <f t="shared" ref="C17:D17" si="11">$B$7*B17+(1-$B$7)*C16</f>
        <v>145.1582641</v>
      </c>
      <c r="D17" s="4">
        <f t="shared" si="11"/>
        <v>148.3287865</v>
      </c>
      <c r="E17" s="4">
        <f t="shared" si="3"/>
        <v>141.9877417</v>
      </c>
      <c r="F17" s="4">
        <f t="shared" si="7"/>
        <v>-28.53470187</v>
      </c>
      <c r="G17" s="4">
        <f t="shared" si="4"/>
        <v>140.774167</v>
      </c>
      <c r="H17" s="4">
        <f t="shared" si="5"/>
        <v>1.225833</v>
      </c>
    </row>
    <row r="18">
      <c r="A18" s="57">
        <v>9.0</v>
      </c>
      <c r="B18" s="58">
        <v>119.0</v>
      </c>
      <c r="C18" s="4">
        <f t="shared" ref="C18:D18" si="12">$B$7*B18+(1-$B$7)*C17</f>
        <v>121.6158264</v>
      </c>
      <c r="D18" s="4">
        <f t="shared" si="12"/>
        <v>124.2871224</v>
      </c>
      <c r="E18" s="4">
        <f t="shared" si="3"/>
        <v>118.9445304</v>
      </c>
      <c r="F18" s="4">
        <f t="shared" si="7"/>
        <v>-24.04166411</v>
      </c>
      <c r="G18" s="4">
        <f t="shared" si="4"/>
        <v>113.4530398</v>
      </c>
      <c r="H18" s="4">
        <f t="shared" si="5"/>
        <v>5.5469602</v>
      </c>
    </row>
    <row r="19">
      <c r="A19" s="57">
        <v>10.0</v>
      </c>
      <c r="B19" s="58">
        <v>147.0</v>
      </c>
      <c r="C19" s="4">
        <f t="shared" ref="C19:D19" si="13">$B$7*B19+(1-$B$7)*C18</f>
        <v>144.4615826</v>
      </c>
      <c r="D19" s="4">
        <f t="shared" si="13"/>
        <v>142.4441366</v>
      </c>
      <c r="E19" s="4">
        <f t="shared" si="3"/>
        <v>146.4790287</v>
      </c>
      <c r="F19" s="4">
        <f t="shared" si="7"/>
        <v>18.1570142</v>
      </c>
      <c r="G19" s="4">
        <f t="shared" si="4"/>
        <v>94.90286629</v>
      </c>
      <c r="H19" s="4">
        <f t="shared" si="5"/>
        <v>52.09713371</v>
      </c>
    </row>
    <row r="20">
      <c r="A20" s="57">
        <v>11.0</v>
      </c>
      <c r="B20" s="58">
        <v>162.0</v>
      </c>
      <c r="C20" s="4">
        <f t="shared" ref="C20:D20" si="14">$B$7*B20+(1-$B$7)*C19</f>
        <v>160.2461583</v>
      </c>
      <c r="D20" s="4">
        <f t="shared" si="14"/>
        <v>158.4659561</v>
      </c>
      <c r="E20" s="4">
        <f t="shared" si="3"/>
        <v>162.0263604</v>
      </c>
      <c r="F20" s="4">
        <f t="shared" si="7"/>
        <v>16.02181948</v>
      </c>
      <c r="G20" s="4">
        <f t="shared" si="4"/>
        <v>164.6360429</v>
      </c>
      <c r="H20" s="4">
        <f t="shared" si="5"/>
        <v>2.63604286</v>
      </c>
    </row>
    <row r="21">
      <c r="A21" s="57">
        <v>12.0</v>
      </c>
      <c r="B21" s="58">
        <v>180.0</v>
      </c>
      <c r="C21" s="4">
        <f t="shared" ref="C21:D21" si="15">$B$7*B21+(1-$B$7)*C20</f>
        <v>178.0246158</v>
      </c>
      <c r="D21" s="4">
        <f t="shared" si="15"/>
        <v>176.0687499</v>
      </c>
      <c r="E21" s="4">
        <f t="shared" si="3"/>
        <v>179.9804818</v>
      </c>
      <c r="F21" s="4">
        <f t="shared" si="7"/>
        <v>17.60279375</v>
      </c>
      <c r="G21" s="4">
        <f t="shared" si="4"/>
        <v>178.0481799</v>
      </c>
      <c r="H21" s="4">
        <f t="shared" si="5"/>
        <v>1.951820091</v>
      </c>
    </row>
    <row r="22">
      <c r="A22" s="57">
        <v>13.0</v>
      </c>
      <c r="B22" s="58">
        <v>199.0</v>
      </c>
      <c r="C22" s="4">
        <f t="shared" ref="C22:D22" si="16">$B$7*B22+(1-$B$7)*C21</f>
        <v>196.9024616</v>
      </c>
      <c r="D22" s="4">
        <f t="shared" si="16"/>
        <v>194.8190904</v>
      </c>
      <c r="E22" s="4">
        <f t="shared" si="3"/>
        <v>198.9858328</v>
      </c>
      <c r="F22" s="4">
        <f t="shared" si="7"/>
        <v>18.75034056</v>
      </c>
      <c r="G22" s="4">
        <f t="shared" si="4"/>
        <v>197.5832756</v>
      </c>
      <c r="H22" s="4">
        <f t="shared" si="5"/>
        <v>1.416724447</v>
      </c>
    </row>
    <row r="23">
      <c r="A23" s="57">
        <v>14.0</v>
      </c>
      <c r="B23" s="58">
        <v>220.0</v>
      </c>
      <c r="C23" s="4">
        <f t="shared" ref="C23:D23" si="17">$B$7*B23+(1-$B$7)*C22</f>
        <v>217.6902462</v>
      </c>
      <c r="D23" s="4">
        <f t="shared" si="17"/>
        <v>215.4031306</v>
      </c>
      <c r="E23" s="4">
        <f t="shared" si="3"/>
        <v>219.9773617</v>
      </c>
      <c r="F23" s="4">
        <f t="shared" si="7"/>
        <v>20.58404017</v>
      </c>
      <c r="G23" s="4">
        <f t="shared" si="4"/>
        <v>217.7361733</v>
      </c>
      <c r="H23" s="4">
        <f t="shared" si="5"/>
        <v>2.263826688</v>
      </c>
    </row>
    <row r="24">
      <c r="A24" s="57">
        <v>15.0</v>
      </c>
      <c r="B24" s="58">
        <v>208.0</v>
      </c>
      <c r="C24" s="4">
        <f t="shared" ref="C24:D24" si="18">$B$7*B24+(1-$B$7)*C23</f>
        <v>208.9690246</v>
      </c>
      <c r="D24" s="4">
        <f t="shared" si="18"/>
        <v>209.6124352</v>
      </c>
      <c r="E24" s="4">
        <f t="shared" si="3"/>
        <v>208.325614</v>
      </c>
      <c r="F24" s="4">
        <f t="shared" si="7"/>
        <v>-5.790695371</v>
      </c>
      <c r="G24" s="4">
        <f t="shared" si="4"/>
        <v>240.5614019</v>
      </c>
      <c r="H24" s="4">
        <f t="shared" si="5"/>
        <v>32.56140191</v>
      </c>
    </row>
    <row r="25">
      <c r="A25" s="57">
        <v>16.0</v>
      </c>
      <c r="B25" s="58">
        <v>175.0</v>
      </c>
      <c r="C25" s="4">
        <f t="shared" ref="C25:D25" si="19">$B$7*B25+(1-$B$7)*C24</f>
        <v>178.3969025</v>
      </c>
      <c r="D25" s="4">
        <f t="shared" si="19"/>
        <v>181.5184557</v>
      </c>
      <c r="E25" s="4">
        <f t="shared" si="3"/>
        <v>175.2753492</v>
      </c>
      <c r="F25" s="4">
        <f t="shared" si="7"/>
        <v>-28.09397948</v>
      </c>
      <c r="G25" s="4">
        <f t="shared" si="4"/>
        <v>202.5349186</v>
      </c>
      <c r="H25" s="4">
        <f t="shared" si="5"/>
        <v>27.53491865</v>
      </c>
    </row>
    <row r="26">
      <c r="A26" s="57">
        <v>17.0</v>
      </c>
      <c r="B26" s="58">
        <v>140.0</v>
      </c>
      <c r="C26" s="4">
        <f t="shared" ref="C26:D26" si="20">$B$7*B26+(1-$B$7)*C25</f>
        <v>143.8396902</v>
      </c>
      <c r="D26" s="4">
        <f t="shared" si="20"/>
        <v>147.6075668</v>
      </c>
      <c r="E26" s="4">
        <f t="shared" si="3"/>
        <v>140.0718137</v>
      </c>
      <c r="F26" s="4">
        <f t="shared" si="7"/>
        <v>-33.91088894</v>
      </c>
      <c r="G26" s="4">
        <f t="shared" si="4"/>
        <v>147.1813697</v>
      </c>
      <c r="H26" s="4">
        <f t="shared" si="5"/>
        <v>7.181369711</v>
      </c>
    </row>
    <row r="27">
      <c r="A27" s="57">
        <v>18.0</v>
      </c>
      <c r="B27" s="58">
        <v>121.0</v>
      </c>
      <c r="C27" s="4">
        <f t="shared" ref="C27:D27" si="21">$B$7*B27+(1-$B$7)*C26</f>
        <v>123.283969</v>
      </c>
      <c r="D27" s="4">
        <f t="shared" si="21"/>
        <v>125.7163288</v>
      </c>
      <c r="E27" s="4">
        <f t="shared" si="3"/>
        <v>120.8516092</v>
      </c>
      <c r="F27" s="4">
        <f t="shared" si="7"/>
        <v>-21.89123799</v>
      </c>
      <c r="G27" s="4">
        <f t="shared" si="4"/>
        <v>106.1609248</v>
      </c>
      <c r="H27" s="4">
        <f t="shared" si="5"/>
        <v>14.83907524</v>
      </c>
    </row>
    <row r="28">
      <c r="A28" s="57">
        <v>19.0</v>
      </c>
      <c r="B28" s="58">
        <v>146.0</v>
      </c>
      <c r="C28" s="4">
        <f t="shared" ref="C28:D28" si="22">$B$7*B28+(1-$B$7)*C27</f>
        <v>143.7283969</v>
      </c>
      <c r="D28" s="4">
        <f t="shared" si="22"/>
        <v>141.9271901</v>
      </c>
      <c r="E28" s="4">
        <f t="shared" si="3"/>
        <v>145.5296037</v>
      </c>
      <c r="F28" s="4">
        <f t="shared" si="7"/>
        <v>16.21086129</v>
      </c>
      <c r="G28" s="4">
        <f t="shared" si="4"/>
        <v>98.96037125</v>
      </c>
      <c r="H28" s="4">
        <f t="shared" si="5"/>
        <v>47.03962875</v>
      </c>
      <c r="I28" s="51" t="s">
        <v>8</v>
      </c>
    </row>
    <row r="29">
      <c r="A29" s="57">
        <v>20.0</v>
      </c>
      <c r="B29" s="58">
        <v>160.0</v>
      </c>
      <c r="C29" s="4">
        <f t="shared" ref="C29:D29" si="23">$B$7*B29+(1-$B$7)*C28</f>
        <v>158.3728397</v>
      </c>
      <c r="D29" s="4">
        <f t="shared" si="23"/>
        <v>156.7282747</v>
      </c>
      <c r="E29" s="4">
        <f t="shared" si="3"/>
        <v>160.0174047</v>
      </c>
      <c r="F29" s="4">
        <f t="shared" si="7"/>
        <v>14.80108464</v>
      </c>
      <c r="G29" s="4">
        <f t="shared" si="4"/>
        <v>161.740465</v>
      </c>
      <c r="H29" s="4">
        <f t="shared" si="5"/>
        <v>1.740465003</v>
      </c>
      <c r="I29" s="60">
        <f>AVERAGE(H20:H29)</f>
        <v>13.91652733</v>
      </c>
    </row>
    <row r="30">
      <c r="A30" s="57">
        <v>21.0</v>
      </c>
      <c r="B30" s="4"/>
      <c r="C30" s="4"/>
      <c r="D30" s="4"/>
      <c r="E30" s="4"/>
      <c r="F30" s="4"/>
      <c r="G30" s="53">
        <f>E29+(F29*2)</f>
        <v>189.6195739</v>
      </c>
      <c r="H30" s="4"/>
    </row>
    <row r="31">
      <c r="A31" s="57">
        <v>22.0</v>
      </c>
      <c r="B31" s="4"/>
      <c r="C31" s="4"/>
      <c r="D31" s="4"/>
      <c r="E31" s="4"/>
      <c r="F31" s="4"/>
      <c r="G31" s="53">
        <f>E29+(F29*3)</f>
        <v>204.4206586</v>
      </c>
      <c r="H31" s="4"/>
    </row>
    <row r="32">
      <c r="A32" s="57">
        <v>23.0</v>
      </c>
      <c r="B32" s="4"/>
      <c r="C32" s="4"/>
      <c r="D32" s="4"/>
      <c r="E32" s="4"/>
      <c r="F32" s="4"/>
      <c r="G32" s="53">
        <f>E29+(F29*4)</f>
        <v>219.2217432</v>
      </c>
      <c r="H32" s="4"/>
    </row>
    <row r="33">
      <c r="A33" s="57">
        <v>24.0</v>
      </c>
      <c r="B33" s="4"/>
      <c r="C33" s="4"/>
      <c r="D33" s="4"/>
      <c r="E33" s="4"/>
      <c r="F33" s="4"/>
      <c r="G33" s="53">
        <f>E29+(F29*5)</f>
        <v>234.0228278</v>
      </c>
      <c r="H33" s="4"/>
    </row>
    <row r="34">
      <c r="A34" s="57">
        <v>25.0</v>
      </c>
      <c r="B34" s="4"/>
      <c r="C34" s="4"/>
      <c r="D34" s="4"/>
      <c r="E34" s="4"/>
      <c r="F34" s="4"/>
      <c r="G34" s="53">
        <f>E29+(F29*6)</f>
        <v>248.8239125</v>
      </c>
      <c r="H34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B1" s="11" t="s">
        <v>9</v>
      </c>
      <c r="C1" s="61">
        <v>10.0</v>
      </c>
    </row>
    <row r="2" ht="15.75" customHeight="1">
      <c r="C2" s="4"/>
      <c r="D2" s="5" t="s">
        <v>47</v>
      </c>
      <c r="E2" s="5" t="s">
        <v>2</v>
      </c>
      <c r="F2" s="5" t="s">
        <v>3</v>
      </c>
      <c r="G2" s="5" t="s">
        <v>4</v>
      </c>
      <c r="H2" s="5" t="s">
        <v>3</v>
      </c>
      <c r="I2" s="5" t="s">
        <v>5</v>
      </c>
      <c r="J2" s="5" t="s">
        <v>3</v>
      </c>
      <c r="K2" s="5" t="s">
        <v>6</v>
      </c>
      <c r="L2" s="5" t="s">
        <v>3</v>
      </c>
    </row>
    <row r="3" ht="15.75" customHeight="1">
      <c r="C3" s="5">
        <v>1.0</v>
      </c>
      <c r="D3" s="4">
        <v>100.0</v>
      </c>
      <c r="E3" s="4"/>
      <c r="F3" s="4"/>
      <c r="G3" s="4"/>
      <c r="H3" s="4"/>
      <c r="I3" s="4"/>
      <c r="J3" s="4"/>
      <c r="K3" s="4"/>
      <c r="L3" s="4"/>
    </row>
    <row r="4" ht="15.75" customHeight="1">
      <c r="C4" s="5">
        <v>2.0</v>
      </c>
      <c r="D4" s="4">
        <v>82.0</v>
      </c>
      <c r="E4" s="4">
        <v>100.0</v>
      </c>
      <c r="F4" s="4">
        <f t="shared" ref="F4:F22" si="1">ABS(D4-E4)</f>
        <v>18</v>
      </c>
      <c r="G4" s="4"/>
      <c r="H4" s="4"/>
      <c r="I4" s="4"/>
      <c r="J4" s="4"/>
      <c r="K4" s="4"/>
      <c r="L4" s="4"/>
    </row>
    <row r="5" ht="15.75" customHeight="1">
      <c r="C5" s="5">
        <v>3.0</v>
      </c>
      <c r="D5" s="4">
        <v>70.0</v>
      </c>
      <c r="E5" s="4">
        <v>82.0</v>
      </c>
      <c r="F5" s="4">
        <f t="shared" si="1"/>
        <v>12</v>
      </c>
      <c r="G5" s="4">
        <f t="shared" ref="G5:G23" si="2">AVERAGE(D3:D4)</f>
        <v>91</v>
      </c>
      <c r="H5" s="4">
        <f t="shared" ref="H5:H22" si="3">ABS(D5-G5)</f>
        <v>21</v>
      </c>
      <c r="I5" s="4"/>
      <c r="J5" s="4"/>
      <c r="K5" s="4"/>
      <c r="L5" s="4"/>
    </row>
    <row r="6" ht="15.75" customHeight="1">
      <c r="C6" s="5">
        <v>4.0</v>
      </c>
      <c r="D6" s="4">
        <v>55.0</v>
      </c>
      <c r="E6" s="4">
        <v>70.0</v>
      </c>
      <c r="F6" s="4">
        <f t="shared" si="1"/>
        <v>15</v>
      </c>
      <c r="G6" s="4">
        <f t="shared" si="2"/>
        <v>76</v>
      </c>
      <c r="H6" s="4">
        <f t="shared" si="3"/>
        <v>21</v>
      </c>
      <c r="I6" s="4">
        <f t="shared" ref="I6:I23" si="4">AVERAGE(D3:D5)</f>
        <v>84</v>
      </c>
      <c r="J6" s="4">
        <f t="shared" ref="J6:J22" si="5">ABS(D6-I6)</f>
        <v>29</v>
      </c>
      <c r="K6" s="4"/>
      <c r="L6" s="4"/>
    </row>
    <row r="7" ht="15.75" customHeight="1">
      <c r="C7" s="5">
        <v>5.0</v>
      </c>
      <c r="D7" s="4">
        <v>110.0</v>
      </c>
      <c r="E7" s="4">
        <v>55.0</v>
      </c>
      <c r="F7" s="4">
        <f t="shared" si="1"/>
        <v>55</v>
      </c>
      <c r="G7" s="4">
        <f t="shared" si="2"/>
        <v>62.5</v>
      </c>
      <c r="H7" s="4">
        <f t="shared" si="3"/>
        <v>47.5</v>
      </c>
      <c r="I7" s="4">
        <f t="shared" si="4"/>
        <v>69</v>
      </c>
      <c r="J7" s="4">
        <f t="shared" si="5"/>
        <v>41</v>
      </c>
      <c r="K7" s="4">
        <f t="shared" ref="K7:K23" si="6">AVERAGE(D3:D6)</f>
        <v>76.75</v>
      </c>
      <c r="L7" s="4">
        <f t="shared" ref="L7:L22" si="7">ABS(D7-K7)</f>
        <v>33.25</v>
      </c>
    </row>
    <row r="8" ht="15.75" customHeight="1">
      <c r="C8" s="5">
        <v>6.0</v>
      </c>
      <c r="D8" s="4">
        <v>85.0</v>
      </c>
      <c r="E8" s="4">
        <v>110.0</v>
      </c>
      <c r="F8" s="4">
        <f t="shared" si="1"/>
        <v>25</v>
      </c>
      <c r="G8" s="4">
        <f t="shared" si="2"/>
        <v>82.5</v>
      </c>
      <c r="H8" s="4">
        <f t="shared" si="3"/>
        <v>2.5</v>
      </c>
      <c r="I8" s="4">
        <f t="shared" si="4"/>
        <v>78.33333333</v>
      </c>
      <c r="J8" s="4">
        <f t="shared" si="5"/>
        <v>6.666666667</v>
      </c>
      <c r="K8" s="4">
        <f t="shared" si="6"/>
        <v>79.25</v>
      </c>
      <c r="L8" s="4">
        <f t="shared" si="7"/>
        <v>5.75</v>
      </c>
    </row>
    <row r="9" ht="15.75" customHeight="1">
      <c r="C9" s="5">
        <v>7.0</v>
      </c>
      <c r="D9" s="4">
        <v>74.0</v>
      </c>
      <c r="E9" s="4">
        <v>85.0</v>
      </c>
      <c r="F9" s="4">
        <f t="shared" si="1"/>
        <v>11</v>
      </c>
      <c r="G9" s="4">
        <f t="shared" si="2"/>
        <v>97.5</v>
      </c>
      <c r="H9" s="4">
        <f t="shared" si="3"/>
        <v>23.5</v>
      </c>
      <c r="I9" s="4">
        <f t="shared" si="4"/>
        <v>83.33333333</v>
      </c>
      <c r="J9" s="4">
        <f t="shared" si="5"/>
        <v>9.333333333</v>
      </c>
      <c r="K9" s="4">
        <f t="shared" si="6"/>
        <v>80</v>
      </c>
      <c r="L9" s="4">
        <f t="shared" si="7"/>
        <v>6</v>
      </c>
    </row>
    <row r="10" ht="15.75" customHeight="1">
      <c r="C10" s="5">
        <v>8.0</v>
      </c>
      <c r="D10" s="4">
        <v>62.0</v>
      </c>
      <c r="E10" s="4">
        <v>74.0</v>
      </c>
      <c r="F10" s="4">
        <f t="shared" si="1"/>
        <v>12</v>
      </c>
      <c r="G10" s="4">
        <f t="shared" si="2"/>
        <v>79.5</v>
      </c>
      <c r="H10" s="4">
        <f t="shared" si="3"/>
        <v>17.5</v>
      </c>
      <c r="I10" s="4">
        <f t="shared" si="4"/>
        <v>89.66666667</v>
      </c>
      <c r="J10" s="4">
        <f t="shared" si="5"/>
        <v>27.66666667</v>
      </c>
      <c r="K10" s="4">
        <f t="shared" si="6"/>
        <v>81</v>
      </c>
      <c r="L10" s="4">
        <f t="shared" si="7"/>
        <v>19</v>
      </c>
    </row>
    <row r="11" ht="15.75" customHeight="1">
      <c r="C11" s="5">
        <v>9.0</v>
      </c>
      <c r="D11" s="4">
        <v>115.0</v>
      </c>
      <c r="E11" s="4">
        <v>62.0</v>
      </c>
      <c r="F11" s="4">
        <f t="shared" si="1"/>
        <v>53</v>
      </c>
      <c r="G11" s="4">
        <f t="shared" si="2"/>
        <v>68</v>
      </c>
      <c r="H11" s="4">
        <f t="shared" si="3"/>
        <v>47</v>
      </c>
      <c r="I11" s="4">
        <f t="shared" si="4"/>
        <v>73.66666667</v>
      </c>
      <c r="J11" s="4">
        <f t="shared" si="5"/>
        <v>41.33333333</v>
      </c>
      <c r="K11" s="4">
        <f t="shared" si="6"/>
        <v>82.75</v>
      </c>
      <c r="L11" s="4">
        <f t="shared" si="7"/>
        <v>32.25</v>
      </c>
    </row>
    <row r="12" ht="15.75" customHeight="1">
      <c r="C12" s="5">
        <v>10.0</v>
      </c>
      <c r="D12" s="4">
        <v>88.0</v>
      </c>
      <c r="E12" s="4">
        <v>115.0</v>
      </c>
      <c r="F12" s="4">
        <f t="shared" si="1"/>
        <v>27</v>
      </c>
      <c r="G12" s="4">
        <f t="shared" si="2"/>
        <v>88.5</v>
      </c>
      <c r="H12" s="4">
        <f t="shared" si="3"/>
        <v>0.5</v>
      </c>
      <c r="I12" s="4">
        <f t="shared" si="4"/>
        <v>83.66666667</v>
      </c>
      <c r="J12" s="4">
        <f t="shared" si="5"/>
        <v>4.333333333</v>
      </c>
      <c r="K12" s="4">
        <f t="shared" si="6"/>
        <v>84</v>
      </c>
      <c r="L12" s="4">
        <f t="shared" si="7"/>
        <v>4</v>
      </c>
    </row>
    <row r="13" ht="15.75" customHeight="1">
      <c r="C13" s="5">
        <v>11.0</v>
      </c>
      <c r="D13" s="4">
        <v>78.0</v>
      </c>
      <c r="E13" s="4">
        <v>88.0</v>
      </c>
      <c r="F13" s="4">
        <f t="shared" si="1"/>
        <v>10</v>
      </c>
      <c r="G13" s="4">
        <f t="shared" si="2"/>
        <v>101.5</v>
      </c>
      <c r="H13" s="4">
        <f t="shared" si="3"/>
        <v>23.5</v>
      </c>
      <c r="I13" s="4">
        <f t="shared" si="4"/>
        <v>88.33333333</v>
      </c>
      <c r="J13" s="4">
        <f t="shared" si="5"/>
        <v>10.33333333</v>
      </c>
      <c r="K13" s="4">
        <f t="shared" si="6"/>
        <v>84.75</v>
      </c>
      <c r="L13" s="4">
        <f t="shared" si="7"/>
        <v>6.75</v>
      </c>
    </row>
    <row r="14" ht="15.75" customHeight="1">
      <c r="C14" s="5">
        <v>12.0</v>
      </c>
      <c r="D14" s="4">
        <v>67.0</v>
      </c>
      <c r="E14" s="4">
        <v>78.0</v>
      </c>
      <c r="F14" s="4">
        <f t="shared" si="1"/>
        <v>11</v>
      </c>
      <c r="G14" s="4">
        <f t="shared" si="2"/>
        <v>83</v>
      </c>
      <c r="H14" s="4">
        <f t="shared" si="3"/>
        <v>16</v>
      </c>
      <c r="I14" s="4">
        <f t="shared" si="4"/>
        <v>93.66666667</v>
      </c>
      <c r="J14" s="4">
        <f t="shared" si="5"/>
        <v>26.66666667</v>
      </c>
      <c r="K14" s="4">
        <f t="shared" si="6"/>
        <v>85.75</v>
      </c>
      <c r="L14" s="4">
        <f t="shared" si="7"/>
        <v>18.75</v>
      </c>
    </row>
    <row r="15" ht="15.75" customHeight="1">
      <c r="C15" s="5">
        <v>13.0</v>
      </c>
      <c r="D15" s="4">
        <v>121.0</v>
      </c>
      <c r="E15" s="4">
        <v>67.0</v>
      </c>
      <c r="F15" s="4">
        <f t="shared" si="1"/>
        <v>54</v>
      </c>
      <c r="G15" s="4">
        <f t="shared" si="2"/>
        <v>72.5</v>
      </c>
      <c r="H15" s="4">
        <f t="shared" si="3"/>
        <v>48.5</v>
      </c>
      <c r="I15" s="4">
        <f t="shared" si="4"/>
        <v>77.66666667</v>
      </c>
      <c r="J15" s="4">
        <f t="shared" si="5"/>
        <v>43.33333333</v>
      </c>
      <c r="K15" s="4">
        <f t="shared" si="6"/>
        <v>87</v>
      </c>
      <c r="L15" s="4">
        <f t="shared" si="7"/>
        <v>34</v>
      </c>
    </row>
    <row r="16" ht="15.75" customHeight="1">
      <c r="C16" s="5">
        <v>14.0</v>
      </c>
      <c r="D16" s="4">
        <v>93.0</v>
      </c>
      <c r="E16" s="4">
        <v>121.0</v>
      </c>
      <c r="F16" s="4">
        <f t="shared" si="1"/>
        <v>28</v>
      </c>
      <c r="G16" s="4">
        <f t="shared" si="2"/>
        <v>94</v>
      </c>
      <c r="H16" s="4">
        <f t="shared" si="3"/>
        <v>1</v>
      </c>
      <c r="I16" s="4">
        <f t="shared" si="4"/>
        <v>88.66666667</v>
      </c>
      <c r="J16" s="4">
        <f t="shared" si="5"/>
        <v>4.333333333</v>
      </c>
      <c r="K16" s="4">
        <f t="shared" si="6"/>
        <v>88.5</v>
      </c>
      <c r="L16" s="4">
        <f t="shared" si="7"/>
        <v>4.5</v>
      </c>
    </row>
    <row r="17" ht="15.75" customHeight="1">
      <c r="C17" s="5">
        <v>15.0</v>
      </c>
      <c r="D17" s="4">
        <v>84.0</v>
      </c>
      <c r="E17" s="4">
        <v>93.0</v>
      </c>
      <c r="F17" s="4">
        <f t="shared" si="1"/>
        <v>9</v>
      </c>
      <c r="G17" s="4">
        <f t="shared" si="2"/>
        <v>107</v>
      </c>
      <c r="H17" s="4">
        <f t="shared" si="3"/>
        <v>23</v>
      </c>
      <c r="I17" s="4">
        <f t="shared" si="4"/>
        <v>93.66666667</v>
      </c>
      <c r="J17" s="4">
        <f t="shared" si="5"/>
        <v>9.666666667</v>
      </c>
      <c r="K17" s="4">
        <f t="shared" si="6"/>
        <v>89.75</v>
      </c>
      <c r="L17" s="4">
        <f t="shared" si="7"/>
        <v>5.75</v>
      </c>
    </row>
    <row r="18" ht="15.75" customHeight="1">
      <c r="C18" s="5">
        <v>16.0</v>
      </c>
      <c r="D18" s="4">
        <v>71.0</v>
      </c>
      <c r="E18" s="4">
        <v>84.0</v>
      </c>
      <c r="F18" s="4">
        <f t="shared" si="1"/>
        <v>13</v>
      </c>
      <c r="G18" s="4">
        <f t="shared" si="2"/>
        <v>88.5</v>
      </c>
      <c r="H18" s="4">
        <f t="shared" si="3"/>
        <v>17.5</v>
      </c>
      <c r="I18" s="4">
        <f t="shared" si="4"/>
        <v>99.33333333</v>
      </c>
      <c r="J18" s="4">
        <f t="shared" si="5"/>
        <v>28.33333333</v>
      </c>
      <c r="K18" s="4">
        <f t="shared" si="6"/>
        <v>91.25</v>
      </c>
      <c r="L18" s="4">
        <f t="shared" si="7"/>
        <v>20.25</v>
      </c>
    </row>
    <row r="19" ht="15.75" customHeight="1">
      <c r="C19" s="5">
        <v>17.0</v>
      </c>
      <c r="D19" s="4">
        <v>128.0</v>
      </c>
      <c r="E19" s="4">
        <v>71.0</v>
      </c>
      <c r="F19" s="4">
        <f t="shared" si="1"/>
        <v>57</v>
      </c>
      <c r="G19" s="4">
        <f t="shared" si="2"/>
        <v>77.5</v>
      </c>
      <c r="H19" s="4">
        <f t="shared" si="3"/>
        <v>50.5</v>
      </c>
      <c r="I19" s="4">
        <f t="shared" si="4"/>
        <v>82.66666667</v>
      </c>
      <c r="J19" s="4">
        <f t="shared" si="5"/>
        <v>45.33333333</v>
      </c>
      <c r="K19" s="4">
        <f t="shared" si="6"/>
        <v>92.25</v>
      </c>
      <c r="L19" s="4">
        <f t="shared" si="7"/>
        <v>35.75</v>
      </c>
    </row>
    <row r="20" ht="15.75" customHeight="1">
      <c r="C20" s="5">
        <v>18.0</v>
      </c>
      <c r="D20" s="4">
        <v>99.0</v>
      </c>
      <c r="E20" s="4">
        <v>128.0</v>
      </c>
      <c r="F20" s="4">
        <f t="shared" si="1"/>
        <v>29</v>
      </c>
      <c r="G20" s="4">
        <f t="shared" si="2"/>
        <v>99.5</v>
      </c>
      <c r="H20" s="4">
        <f t="shared" si="3"/>
        <v>0.5</v>
      </c>
      <c r="I20" s="4">
        <f t="shared" si="4"/>
        <v>94.33333333</v>
      </c>
      <c r="J20" s="4">
        <f t="shared" si="5"/>
        <v>4.666666667</v>
      </c>
      <c r="K20" s="4">
        <f t="shared" si="6"/>
        <v>94</v>
      </c>
      <c r="L20" s="4">
        <f t="shared" si="7"/>
        <v>5</v>
      </c>
    </row>
    <row r="21" ht="15.75" customHeight="1">
      <c r="C21" s="5">
        <v>19.0</v>
      </c>
      <c r="D21" s="4">
        <v>89.0</v>
      </c>
      <c r="E21" s="4">
        <v>99.0</v>
      </c>
      <c r="F21" s="4">
        <f t="shared" si="1"/>
        <v>10</v>
      </c>
      <c r="G21" s="4">
        <f t="shared" si="2"/>
        <v>113.5</v>
      </c>
      <c r="H21" s="4">
        <f t="shared" si="3"/>
        <v>24.5</v>
      </c>
      <c r="I21" s="4">
        <f t="shared" si="4"/>
        <v>99.33333333</v>
      </c>
      <c r="J21" s="4">
        <f t="shared" si="5"/>
        <v>10.33333333</v>
      </c>
      <c r="K21" s="4">
        <f t="shared" si="6"/>
        <v>95.5</v>
      </c>
      <c r="L21" s="4">
        <f t="shared" si="7"/>
        <v>6.5</v>
      </c>
    </row>
    <row r="22" ht="15.75" customHeight="1">
      <c r="C22" s="5">
        <v>20.0</v>
      </c>
      <c r="D22" s="4">
        <v>77.0</v>
      </c>
      <c r="E22" s="4">
        <v>89.0</v>
      </c>
      <c r="F22" s="4">
        <f t="shared" si="1"/>
        <v>12</v>
      </c>
      <c r="G22" s="4">
        <f t="shared" si="2"/>
        <v>94</v>
      </c>
      <c r="H22" s="4">
        <f t="shared" si="3"/>
        <v>17</v>
      </c>
      <c r="I22" s="4">
        <f t="shared" si="4"/>
        <v>105.3333333</v>
      </c>
      <c r="J22" s="4">
        <f t="shared" si="5"/>
        <v>28.33333333</v>
      </c>
      <c r="K22" s="4">
        <f t="shared" si="6"/>
        <v>96.75</v>
      </c>
      <c r="L22" s="4">
        <f t="shared" si="7"/>
        <v>19.75</v>
      </c>
    </row>
    <row r="23" ht="15.75" customHeight="1">
      <c r="C23" s="62">
        <v>21.0</v>
      </c>
      <c r="D23" s="4"/>
      <c r="E23" s="4">
        <v>77.0</v>
      </c>
      <c r="F23" s="4"/>
      <c r="G23" s="4">
        <f t="shared" si="2"/>
        <v>83</v>
      </c>
      <c r="H23" s="4"/>
      <c r="I23" s="4">
        <f t="shared" si="4"/>
        <v>88.33333333</v>
      </c>
      <c r="J23" s="4"/>
      <c r="K23" s="4">
        <f t="shared" si="6"/>
        <v>98.25</v>
      </c>
      <c r="L23" s="4"/>
    </row>
    <row r="24" ht="15.75" customHeight="1">
      <c r="E24" s="11" t="s">
        <v>8</v>
      </c>
      <c r="F24" s="13">
        <f>AVERAGE(F13:F22)</f>
        <v>23.3</v>
      </c>
    </row>
    <row r="25" ht="15.75" customHeight="1">
      <c r="G25" s="11" t="s">
        <v>8</v>
      </c>
      <c r="H25" s="13">
        <f>AVERAGE(H13:H22)</f>
        <v>22.2</v>
      </c>
      <c r="I25" s="11" t="s">
        <v>8</v>
      </c>
      <c r="J25" s="13">
        <f>AVERAGE(J13:J22)</f>
        <v>21.13333333</v>
      </c>
      <c r="K25" s="11" t="s">
        <v>8</v>
      </c>
      <c r="L25" s="13">
        <f>AVERAGE(L13:L22)</f>
        <v>15.7</v>
      </c>
    </row>
    <row r="26" ht="15.75" customHeight="1"/>
    <row r="27" ht="15.75" customHeight="1"/>
    <row r="28" ht="15.75" customHeight="1"/>
    <row r="29" ht="15.75" customHeight="1">
      <c r="L29" s="23" t="s">
        <v>13</v>
      </c>
      <c r="M29" s="23">
        <v>0.1</v>
      </c>
    </row>
    <row r="30" ht="15.75" customHeight="1">
      <c r="D30" s="11" t="s">
        <v>47</v>
      </c>
      <c r="E30" s="11" t="s">
        <v>48</v>
      </c>
      <c r="F30" s="11" t="s">
        <v>3</v>
      </c>
      <c r="H30" s="11" t="s">
        <v>48</v>
      </c>
      <c r="I30" s="11" t="s">
        <v>3</v>
      </c>
      <c r="L30" s="23" t="s">
        <v>13</v>
      </c>
      <c r="M30" s="23">
        <v>0.5</v>
      </c>
    </row>
    <row r="31" ht="15.75" customHeight="1">
      <c r="C31" s="11">
        <v>1.0</v>
      </c>
      <c r="D31" s="13">
        <v>100.0</v>
      </c>
      <c r="E31" s="13">
        <v>100.0</v>
      </c>
      <c r="F31" s="13">
        <f t="shared" ref="F31:F50" si="8">ABS(D31-E31)</f>
        <v>0</v>
      </c>
      <c r="H31" s="13">
        <v>100.0</v>
      </c>
      <c r="I31" s="13">
        <f t="shared" ref="I31:I50" si="9">ABS(D31-H31)</f>
        <v>0</v>
      </c>
    </row>
    <row r="32" ht="15.75" customHeight="1">
      <c r="C32" s="11">
        <v>2.0</v>
      </c>
      <c r="D32" s="13">
        <v>82.0</v>
      </c>
      <c r="E32" s="13">
        <f t="shared" ref="E32:E51" si="10">E31+$M$29*(D31-E31)</f>
        <v>100</v>
      </c>
      <c r="F32" s="13">
        <f t="shared" si="8"/>
        <v>18</v>
      </c>
      <c r="H32" s="13">
        <f t="shared" ref="H32:H51" si="11">H31+$M$30*(D31-H31)</f>
        <v>100</v>
      </c>
      <c r="I32" s="13">
        <f t="shared" si="9"/>
        <v>18</v>
      </c>
    </row>
    <row r="33" ht="15.75" customHeight="1">
      <c r="C33" s="11">
        <v>3.0</v>
      </c>
      <c r="D33" s="13">
        <v>70.0</v>
      </c>
      <c r="E33" s="13">
        <f t="shared" si="10"/>
        <v>98.2</v>
      </c>
      <c r="F33" s="13">
        <f t="shared" si="8"/>
        <v>28.2</v>
      </c>
      <c r="H33" s="13">
        <f t="shared" si="11"/>
        <v>91</v>
      </c>
      <c r="I33" s="13">
        <f t="shared" si="9"/>
        <v>21</v>
      </c>
    </row>
    <row r="34" ht="15.75" customHeight="1">
      <c r="C34" s="11">
        <v>4.0</v>
      </c>
      <c r="D34" s="13">
        <v>55.0</v>
      </c>
      <c r="E34" s="13">
        <f t="shared" si="10"/>
        <v>95.38</v>
      </c>
      <c r="F34" s="13">
        <f t="shared" si="8"/>
        <v>40.38</v>
      </c>
      <c r="H34" s="13">
        <f t="shared" si="11"/>
        <v>80.5</v>
      </c>
      <c r="I34" s="13">
        <f t="shared" si="9"/>
        <v>25.5</v>
      </c>
    </row>
    <row r="35" ht="15.75" customHeight="1">
      <c r="C35" s="11">
        <v>5.0</v>
      </c>
      <c r="D35" s="13">
        <v>110.0</v>
      </c>
      <c r="E35" s="13">
        <f t="shared" si="10"/>
        <v>91.342</v>
      </c>
      <c r="F35" s="13">
        <f t="shared" si="8"/>
        <v>18.658</v>
      </c>
      <c r="H35" s="13">
        <f t="shared" si="11"/>
        <v>67.75</v>
      </c>
      <c r="I35" s="13">
        <f t="shared" si="9"/>
        <v>42.25</v>
      </c>
    </row>
    <row r="36" ht="15.75" customHeight="1">
      <c r="C36" s="11">
        <v>6.0</v>
      </c>
      <c r="D36" s="13">
        <v>85.0</v>
      </c>
      <c r="E36" s="13">
        <f t="shared" si="10"/>
        <v>93.2078</v>
      </c>
      <c r="F36" s="13">
        <f t="shared" si="8"/>
        <v>8.2078</v>
      </c>
      <c r="H36" s="13">
        <f t="shared" si="11"/>
        <v>88.875</v>
      </c>
      <c r="I36" s="13">
        <f t="shared" si="9"/>
        <v>3.875</v>
      </c>
    </row>
    <row r="37" ht="15.75" customHeight="1">
      <c r="C37" s="11">
        <v>7.0</v>
      </c>
      <c r="D37" s="13">
        <v>74.0</v>
      </c>
      <c r="E37" s="13">
        <f t="shared" si="10"/>
        <v>92.38702</v>
      </c>
      <c r="F37" s="13">
        <f t="shared" si="8"/>
        <v>18.38702</v>
      </c>
      <c r="H37" s="13">
        <f t="shared" si="11"/>
        <v>86.9375</v>
      </c>
      <c r="I37" s="13">
        <f t="shared" si="9"/>
        <v>12.9375</v>
      </c>
    </row>
    <row r="38" ht="15.75" customHeight="1">
      <c r="C38" s="11">
        <v>8.0</v>
      </c>
      <c r="D38" s="13">
        <v>62.0</v>
      </c>
      <c r="E38" s="13">
        <f t="shared" si="10"/>
        <v>90.548318</v>
      </c>
      <c r="F38" s="13">
        <f t="shared" si="8"/>
        <v>28.548318</v>
      </c>
      <c r="H38" s="13">
        <f t="shared" si="11"/>
        <v>80.46875</v>
      </c>
      <c r="I38" s="13">
        <f t="shared" si="9"/>
        <v>18.46875</v>
      </c>
    </row>
    <row r="39" ht="15.75" customHeight="1">
      <c r="C39" s="11">
        <v>9.0</v>
      </c>
      <c r="D39" s="13">
        <v>115.0</v>
      </c>
      <c r="E39" s="13">
        <f t="shared" si="10"/>
        <v>87.6934862</v>
      </c>
      <c r="F39" s="13">
        <f t="shared" si="8"/>
        <v>27.3065138</v>
      </c>
      <c r="H39" s="13">
        <f t="shared" si="11"/>
        <v>71.234375</v>
      </c>
      <c r="I39" s="13">
        <f t="shared" si="9"/>
        <v>43.765625</v>
      </c>
    </row>
    <row r="40" ht="15.75" customHeight="1">
      <c r="C40" s="11">
        <v>10.0</v>
      </c>
      <c r="D40" s="13">
        <v>88.0</v>
      </c>
      <c r="E40" s="13">
        <f t="shared" si="10"/>
        <v>90.42413758</v>
      </c>
      <c r="F40" s="13">
        <f t="shared" si="8"/>
        <v>2.42413758</v>
      </c>
      <c r="H40" s="13">
        <f t="shared" si="11"/>
        <v>93.1171875</v>
      </c>
      <c r="I40" s="13">
        <f t="shared" si="9"/>
        <v>5.1171875</v>
      </c>
    </row>
    <row r="41" ht="15.75" customHeight="1">
      <c r="C41" s="11">
        <v>11.0</v>
      </c>
      <c r="D41" s="13">
        <v>78.0</v>
      </c>
      <c r="E41" s="13">
        <f t="shared" si="10"/>
        <v>90.18172382</v>
      </c>
      <c r="F41" s="13">
        <f t="shared" si="8"/>
        <v>12.18172382</v>
      </c>
      <c r="H41" s="13">
        <f t="shared" si="11"/>
        <v>90.55859375</v>
      </c>
      <c r="I41" s="13">
        <f t="shared" si="9"/>
        <v>12.55859375</v>
      </c>
    </row>
    <row r="42" ht="15.75" customHeight="1">
      <c r="C42" s="11">
        <v>12.0</v>
      </c>
      <c r="D42" s="13">
        <v>67.0</v>
      </c>
      <c r="E42" s="13">
        <f t="shared" si="10"/>
        <v>88.96355144</v>
      </c>
      <c r="F42" s="13">
        <f t="shared" si="8"/>
        <v>21.96355144</v>
      </c>
      <c r="H42" s="13">
        <f t="shared" si="11"/>
        <v>84.27929688</v>
      </c>
      <c r="I42" s="13">
        <f t="shared" si="9"/>
        <v>17.27929688</v>
      </c>
    </row>
    <row r="43" ht="15.75" customHeight="1">
      <c r="C43" s="11">
        <v>13.0</v>
      </c>
      <c r="D43" s="13">
        <v>121.0</v>
      </c>
      <c r="E43" s="13">
        <f t="shared" si="10"/>
        <v>86.7671963</v>
      </c>
      <c r="F43" s="13">
        <f t="shared" si="8"/>
        <v>34.2328037</v>
      </c>
      <c r="H43" s="13">
        <f t="shared" si="11"/>
        <v>75.63964844</v>
      </c>
      <c r="I43" s="13">
        <f t="shared" si="9"/>
        <v>45.36035156</v>
      </c>
    </row>
    <row r="44" ht="15.75" customHeight="1">
      <c r="C44" s="11">
        <v>14.0</v>
      </c>
      <c r="D44" s="13">
        <v>93.0</v>
      </c>
      <c r="E44" s="13">
        <f t="shared" si="10"/>
        <v>90.19047667</v>
      </c>
      <c r="F44" s="13">
        <f t="shared" si="8"/>
        <v>2.809523334</v>
      </c>
      <c r="H44" s="13">
        <f t="shared" si="11"/>
        <v>98.31982422</v>
      </c>
      <c r="I44" s="13">
        <f t="shared" si="9"/>
        <v>5.319824219</v>
      </c>
    </row>
    <row r="45" ht="15.75" customHeight="1">
      <c r="C45" s="11">
        <v>15.0</v>
      </c>
      <c r="D45" s="13">
        <v>84.0</v>
      </c>
      <c r="E45" s="13">
        <f t="shared" si="10"/>
        <v>90.471429</v>
      </c>
      <c r="F45" s="13">
        <f t="shared" si="8"/>
        <v>6.471429</v>
      </c>
      <c r="H45" s="13">
        <f t="shared" si="11"/>
        <v>95.65991211</v>
      </c>
      <c r="I45" s="13">
        <f t="shared" si="9"/>
        <v>11.65991211</v>
      </c>
    </row>
    <row r="46" ht="15.75" customHeight="1">
      <c r="C46" s="11">
        <v>16.0</v>
      </c>
      <c r="D46" s="13">
        <v>71.0</v>
      </c>
      <c r="E46" s="13">
        <f t="shared" si="10"/>
        <v>89.8242861</v>
      </c>
      <c r="F46" s="13">
        <f t="shared" si="8"/>
        <v>18.8242861</v>
      </c>
      <c r="H46" s="13">
        <f t="shared" si="11"/>
        <v>89.82995605</v>
      </c>
      <c r="I46" s="13">
        <f t="shared" si="9"/>
        <v>18.82995605</v>
      </c>
    </row>
    <row r="47" ht="15.75" customHeight="1">
      <c r="C47" s="11">
        <v>17.0</v>
      </c>
      <c r="D47" s="13">
        <v>128.0</v>
      </c>
      <c r="E47" s="13">
        <f t="shared" si="10"/>
        <v>87.94185749</v>
      </c>
      <c r="F47" s="13">
        <f t="shared" si="8"/>
        <v>40.05814251</v>
      </c>
      <c r="H47" s="13">
        <f t="shared" si="11"/>
        <v>80.41497803</v>
      </c>
      <c r="I47" s="13">
        <f t="shared" si="9"/>
        <v>47.58502197</v>
      </c>
    </row>
    <row r="48" ht="15.75" customHeight="1">
      <c r="C48" s="11">
        <v>18.0</v>
      </c>
      <c r="D48" s="13">
        <v>99.0</v>
      </c>
      <c r="E48" s="13">
        <f t="shared" si="10"/>
        <v>91.94767174</v>
      </c>
      <c r="F48" s="13">
        <f t="shared" si="8"/>
        <v>7.052328259</v>
      </c>
      <c r="H48" s="13">
        <f t="shared" si="11"/>
        <v>104.207489</v>
      </c>
      <c r="I48" s="13">
        <f t="shared" si="9"/>
        <v>5.207489014</v>
      </c>
    </row>
    <row r="49" ht="15.75" customHeight="1">
      <c r="C49" s="11">
        <v>19.0</v>
      </c>
      <c r="D49" s="13">
        <v>89.0</v>
      </c>
      <c r="E49" s="13">
        <f t="shared" si="10"/>
        <v>92.65290457</v>
      </c>
      <c r="F49" s="13">
        <f t="shared" si="8"/>
        <v>3.652904567</v>
      </c>
      <c r="H49" s="13">
        <f t="shared" si="11"/>
        <v>101.6037445</v>
      </c>
      <c r="I49" s="13">
        <f t="shared" si="9"/>
        <v>12.60374451</v>
      </c>
    </row>
    <row r="50" ht="15.75" customHeight="1">
      <c r="C50" s="11">
        <v>20.0</v>
      </c>
      <c r="D50" s="13">
        <v>77.0</v>
      </c>
      <c r="E50" s="13">
        <f t="shared" si="10"/>
        <v>92.28761411</v>
      </c>
      <c r="F50" s="13">
        <f t="shared" si="8"/>
        <v>15.28761411</v>
      </c>
      <c r="H50" s="13">
        <f t="shared" si="11"/>
        <v>95.30187225</v>
      </c>
      <c r="I50" s="13">
        <f t="shared" si="9"/>
        <v>18.30187225</v>
      </c>
    </row>
    <row r="51" ht="15.75" customHeight="1">
      <c r="C51" s="22">
        <v>21.0</v>
      </c>
      <c r="E51" s="13">
        <f t="shared" si="10"/>
        <v>90.7588527</v>
      </c>
      <c r="H51" s="13">
        <f t="shared" si="11"/>
        <v>86.15093613</v>
      </c>
    </row>
    <row r="52" ht="15.75" customHeight="1"/>
    <row r="53" ht="15.75" customHeight="1">
      <c r="E53" s="13" t="s">
        <v>8</v>
      </c>
      <c r="F53" s="13" t="s">
        <v>49</v>
      </c>
      <c r="H53" s="13" t="s">
        <v>8</v>
      </c>
      <c r="I53" s="13">
        <f>AVERAGE(I41:I50)</f>
        <v>19.47060623</v>
      </c>
    </row>
    <row r="54" ht="15.75" customHeight="1">
      <c r="B54" s="38" t="s">
        <v>14</v>
      </c>
      <c r="C54" s="63" t="s">
        <v>50</v>
      </c>
      <c r="D54" s="64"/>
    </row>
    <row r="55" ht="15.75" customHeight="1">
      <c r="B55" s="29"/>
      <c r="C55" s="65"/>
      <c r="D55" s="66"/>
    </row>
    <row r="56" ht="15.75" customHeight="1">
      <c r="B56" s="67" t="s">
        <v>51</v>
      </c>
      <c r="C56" s="68">
        <f>((D66+D70+D74+D78+D82)/5) / AVERAGE(D31:D50)</f>
        <v>1.313501144</v>
      </c>
      <c r="D56" s="69"/>
      <c r="F56" s="41" t="s">
        <v>52</v>
      </c>
      <c r="G56" s="70">
        <v>80.2789473684211</v>
      </c>
      <c r="K56" s="41"/>
      <c r="L56" s="70"/>
    </row>
    <row r="57" ht="15.75" customHeight="1">
      <c r="B57" s="67" t="s">
        <v>53</v>
      </c>
      <c r="C57" s="68">
        <f>((D67+D71+D75+D79+D83)/5) / AVERAGE(D31:D50)</f>
        <v>1.022883295</v>
      </c>
      <c r="D57" s="69"/>
      <c r="F57" s="67" t="s">
        <v>54</v>
      </c>
      <c r="G57" s="70">
        <v>0.6781954887218045</v>
      </c>
      <c r="K57" s="67"/>
      <c r="L57" s="70"/>
    </row>
    <row r="58" ht="15.75" customHeight="1">
      <c r="B58" s="67" t="s">
        <v>55</v>
      </c>
      <c r="C58" s="68">
        <f>((D68+D72+D76+D80+D84)/5) / AVERAGE(D31:D50)</f>
        <v>0.9038901602</v>
      </c>
      <c r="D58" s="69"/>
    </row>
    <row r="59" ht="15.75" customHeight="1">
      <c r="B59" s="67" t="s">
        <v>56</v>
      </c>
      <c r="C59" s="68">
        <f>((D69+D73+D77+D81+D85)/5) / AVERAGE(D31:D50)</f>
        <v>0.7597254005</v>
      </c>
      <c r="D59" s="69"/>
    </row>
    <row r="60" ht="15.75" customHeight="1"/>
    <row r="61" ht="15.75" customHeight="1"/>
    <row r="62" ht="15.75" customHeight="1">
      <c r="A62" s="37" t="s">
        <v>29</v>
      </c>
      <c r="B62" s="28" t="s">
        <v>57</v>
      </c>
      <c r="C62" s="28" t="s">
        <v>14</v>
      </c>
      <c r="D62" s="28" t="s">
        <v>30</v>
      </c>
      <c r="E62" s="28" t="s">
        <v>58</v>
      </c>
      <c r="F62" s="28" t="s">
        <v>59</v>
      </c>
      <c r="G62" s="28" t="s">
        <v>32</v>
      </c>
    </row>
    <row r="63" ht="15.75" customHeight="1">
      <c r="A63" s="40"/>
      <c r="B63" s="40"/>
      <c r="C63" s="40"/>
      <c r="D63" s="40"/>
      <c r="E63" s="40"/>
      <c r="F63" s="40"/>
      <c r="G63" s="40"/>
    </row>
    <row r="64" ht="15.75" customHeight="1">
      <c r="A64" s="29"/>
      <c r="B64" s="40"/>
      <c r="C64" s="40"/>
      <c r="D64" s="40"/>
      <c r="E64" s="40"/>
      <c r="F64" s="40"/>
      <c r="G64" s="40"/>
    </row>
    <row r="65" ht="15.75" customHeight="1">
      <c r="A65" s="41" t="s">
        <v>33</v>
      </c>
      <c r="B65" s="29"/>
      <c r="C65" s="29"/>
      <c r="D65" s="29"/>
      <c r="E65" s="29"/>
      <c r="F65" s="29"/>
      <c r="G65" s="29"/>
    </row>
    <row r="66" ht="15.75" customHeight="1">
      <c r="A66" s="71">
        <v>1.0</v>
      </c>
      <c r="B66" s="71" t="s">
        <v>60</v>
      </c>
      <c r="C66" s="71" t="s">
        <v>51</v>
      </c>
      <c r="D66" s="72">
        <v>100.0</v>
      </c>
      <c r="E66" s="72">
        <f t="shared" ref="E66:E90" si="12">$G$56+$G$57*A66</f>
        <v>80.95714286</v>
      </c>
      <c r="F66" s="72">
        <f t="shared" ref="F66:F69" si="13">C56*E66</f>
        <v>106.3372998</v>
      </c>
      <c r="G66" s="72"/>
    </row>
    <row r="67" ht="15.75" customHeight="1">
      <c r="A67" s="71">
        <v>2.0</v>
      </c>
      <c r="B67" s="71"/>
      <c r="C67" s="71" t="s">
        <v>53</v>
      </c>
      <c r="D67" s="72">
        <v>82.0</v>
      </c>
      <c r="E67" s="72">
        <f t="shared" si="12"/>
        <v>81.63533835</v>
      </c>
      <c r="F67" s="72">
        <f t="shared" si="13"/>
        <v>83.50342389</v>
      </c>
      <c r="G67" s="72"/>
    </row>
    <row r="68" ht="15.75" customHeight="1">
      <c r="A68" s="71">
        <f t="shared" ref="A68:A85" si="14">A67+1</f>
        <v>3</v>
      </c>
      <c r="B68" s="71"/>
      <c r="C68" s="71" t="s">
        <v>55</v>
      </c>
      <c r="D68" s="72">
        <v>70.0</v>
      </c>
      <c r="E68" s="72">
        <f t="shared" si="12"/>
        <v>82.31353383</v>
      </c>
      <c r="F68" s="72">
        <f t="shared" si="13"/>
        <v>74.40239328</v>
      </c>
      <c r="G68" s="72"/>
    </row>
    <row r="69" ht="15.75" customHeight="1">
      <c r="A69" s="71">
        <f t="shared" si="14"/>
        <v>4</v>
      </c>
      <c r="B69" s="71"/>
      <c r="C69" s="71" t="s">
        <v>56</v>
      </c>
      <c r="D69" s="72">
        <v>55.0</v>
      </c>
      <c r="E69" s="72">
        <f t="shared" si="12"/>
        <v>82.99172932</v>
      </c>
      <c r="F69" s="72">
        <f t="shared" si="13"/>
        <v>63.05092479</v>
      </c>
      <c r="G69" s="72"/>
    </row>
    <row r="70" ht="15.75" customHeight="1">
      <c r="A70" s="71">
        <f t="shared" si="14"/>
        <v>5</v>
      </c>
      <c r="B70" s="71" t="s">
        <v>61</v>
      </c>
      <c r="C70" s="71" t="s">
        <v>51</v>
      </c>
      <c r="D70" s="72">
        <v>110.0</v>
      </c>
      <c r="E70" s="72">
        <f t="shared" si="12"/>
        <v>83.66992481</v>
      </c>
      <c r="F70" s="72">
        <f t="shared" ref="F70:F73" si="15">E70*C56</f>
        <v>109.900542</v>
      </c>
      <c r="G70" s="72"/>
    </row>
    <row r="71" ht="15.75" customHeight="1">
      <c r="A71" s="71">
        <f t="shared" si="14"/>
        <v>6</v>
      </c>
      <c r="B71" s="71"/>
      <c r="C71" s="71" t="s">
        <v>53</v>
      </c>
      <c r="D71" s="72">
        <v>85.0</v>
      </c>
      <c r="E71" s="72">
        <f t="shared" si="12"/>
        <v>84.3481203</v>
      </c>
      <c r="F71" s="72">
        <f t="shared" si="15"/>
        <v>86.27828324</v>
      </c>
      <c r="G71" s="72"/>
    </row>
    <row r="72" ht="15.75" customHeight="1">
      <c r="A72" s="71">
        <f t="shared" si="14"/>
        <v>7</v>
      </c>
      <c r="B72" s="71"/>
      <c r="C72" s="71" t="s">
        <v>55</v>
      </c>
      <c r="D72" s="72">
        <v>74.0</v>
      </c>
      <c r="E72" s="72">
        <f t="shared" si="12"/>
        <v>85.02631579</v>
      </c>
      <c r="F72" s="72">
        <f t="shared" si="15"/>
        <v>76.8544502</v>
      </c>
      <c r="G72" s="72"/>
    </row>
    <row r="73" ht="15.75" customHeight="1">
      <c r="A73" s="71">
        <f t="shared" si="14"/>
        <v>8</v>
      </c>
      <c r="B73" s="71"/>
      <c r="C73" s="71" t="s">
        <v>56</v>
      </c>
      <c r="D73" s="72">
        <v>62.0</v>
      </c>
      <c r="E73" s="72">
        <f t="shared" si="12"/>
        <v>85.70451128</v>
      </c>
      <c r="F73" s="72">
        <f t="shared" si="15"/>
        <v>65.11189415</v>
      </c>
      <c r="G73" s="72"/>
    </row>
    <row r="74" ht="15.75" customHeight="1">
      <c r="A74" s="71">
        <f t="shared" si="14"/>
        <v>9</v>
      </c>
      <c r="B74" s="71" t="s">
        <v>62</v>
      </c>
      <c r="C74" s="71" t="s">
        <v>51</v>
      </c>
      <c r="D74" s="72">
        <v>115.0</v>
      </c>
      <c r="E74" s="72">
        <f t="shared" si="12"/>
        <v>86.38270677</v>
      </c>
      <c r="F74" s="72">
        <f t="shared" ref="F74:F77" si="16">E74*C56</f>
        <v>113.4637842</v>
      </c>
      <c r="G74" s="72"/>
    </row>
    <row r="75" ht="15.75" customHeight="1">
      <c r="A75" s="71">
        <f t="shared" si="14"/>
        <v>10</v>
      </c>
      <c r="B75" s="73"/>
      <c r="C75" s="71" t="s">
        <v>53</v>
      </c>
      <c r="D75" s="72">
        <v>88.0</v>
      </c>
      <c r="E75" s="72">
        <f t="shared" si="12"/>
        <v>87.06090226</v>
      </c>
      <c r="F75" s="72">
        <f t="shared" si="16"/>
        <v>89.05314258</v>
      </c>
      <c r="G75" s="72"/>
    </row>
    <row r="76" ht="15.75" customHeight="1">
      <c r="A76" s="71">
        <f t="shared" si="14"/>
        <v>11</v>
      </c>
      <c r="B76" s="71"/>
      <c r="C76" s="71" t="s">
        <v>55</v>
      </c>
      <c r="D76" s="72">
        <v>78.0</v>
      </c>
      <c r="E76" s="72">
        <f t="shared" si="12"/>
        <v>87.73909774</v>
      </c>
      <c r="F76" s="72">
        <f t="shared" si="16"/>
        <v>79.30650711</v>
      </c>
      <c r="G76" s="72">
        <f t="shared" ref="G76:G85" si="17">ABS(D76-F76)</f>
        <v>1.306507114</v>
      </c>
    </row>
    <row r="77" ht="15.75" customHeight="1">
      <c r="A77" s="71">
        <f t="shared" si="14"/>
        <v>12</v>
      </c>
      <c r="B77" s="71"/>
      <c r="C77" s="71" t="s">
        <v>56</v>
      </c>
      <c r="D77" s="72">
        <v>67.0</v>
      </c>
      <c r="E77" s="72">
        <f t="shared" si="12"/>
        <v>88.41729323</v>
      </c>
      <c r="F77" s="72">
        <f t="shared" si="16"/>
        <v>67.17286351</v>
      </c>
      <c r="G77" s="72">
        <f t="shared" si="17"/>
        <v>0.1728635089</v>
      </c>
    </row>
    <row r="78" ht="15.75" customHeight="1">
      <c r="A78" s="71">
        <f t="shared" si="14"/>
        <v>13</v>
      </c>
      <c r="B78" s="71" t="s">
        <v>63</v>
      </c>
      <c r="C78" s="71" t="s">
        <v>51</v>
      </c>
      <c r="D78" s="72">
        <v>121.0</v>
      </c>
      <c r="E78" s="72">
        <f t="shared" si="12"/>
        <v>89.09548872</v>
      </c>
      <c r="F78" s="72">
        <f t="shared" ref="F78:F81" si="18">E78*C56</f>
        <v>117.0270264</v>
      </c>
      <c r="G78" s="72">
        <f t="shared" si="17"/>
        <v>3.972973624</v>
      </c>
    </row>
    <row r="79" ht="15.75" customHeight="1">
      <c r="A79" s="71">
        <f t="shared" si="14"/>
        <v>14</v>
      </c>
      <c r="B79" s="71"/>
      <c r="C79" s="71" t="s">
        <v>53</v>
      </c>
      <c r="D79" s="72">
        <v>93.0</v>
      </c>
      <c r="E79" s="72">
        <f t="shared" si="12"/>
        <v>89.77368421</v>
      </c>
      <c r="F79" s="72">
        <f t="shared" si="18"/>
        <v>91.82800193</v>
      </c>
      <c r="G79" s="72">
        <f t="shared" si="17"/>
        <v>1.171998073</v>
      </c>
    </row>
    <row r="80" ht="15.75" customHeight="1">
      <c r="A80" s="71">
        <f t="shared" si="14"/>
        <v>15</v>
      </c>
      <c r="B80" s="71"/>
      <c r="C80" s="71" t="s">
        <v>55</v>
      </c>
      <c r="D80" s="72">
        <v>84.0</v>
      </c>
      <c r="E80" s="72">
        <f t="shared" si="12"/>
        <v>90.4518797</v>
      </c>
      <c r="F80" s="72">
        <f t="shared" si="18"/>
        <v>81.75856403</v>
      </c>
      <c r="G80" s="72">
        <f t="shared" si="17"/>
        <v>2.24143597</v>
      </c>
    </row>
    <row r="81" ht="15.75" customHeight="1">
      <c r="A81" s="71">
        <f t="shared" si="14"/>
        <v>16</v>
      </c>
      <c r="B81" s="71"/>
      <c r="C81" s="71" t="s">
        <v>56</v>
      </c>
      <c r="D81" s="72">
        <v>71.0</v>
      </c>
      <c r="E81" s="72">
        <f t="shared" si="12"/>
        <v>91.13007519</v>
      </c>
      <c r="F81" s="72">
        <f t="shared" si="18"/>
        <v>69.23383287</v>
      </c>
      <c r="G81" s="72">
        <f t="shared" si="17"/>
        <v>1.766167134</v>
      </c>
    </row>
    <row r="82" ht="15.75" customHeight="1">
      <c r="A82" s="71">
        <f t="shared" si="14"/>
        <v>17</v>
      </c>
      <c r="B82" s="71" t="s">
        <v>64</v>
      </c>
      <c r="C82" s="71" t="s">
        <v>51</v>
      </c>
      <c r="D82" s="72">
        <v>128.0</v>
      </c>
      <c r="E82" s="72">
        <f t="shared" si="12"/>
        <v>91.80827068</v>
      </c>
      <c r="F82" s="72">
        <f t="shared" ref="F82:F85" si="19">E82*C56</f>
        <v>120.5902686</v>
      </c>
      <c r="G82" s="72">
        <f t="shared" si="17"/>
        <v>7.409731422</v>
      </c>
    </row>
    <row r="83" ht="15.75" customHeight="1">
      <c r="A83" s="71">
        <f t="shared" si="14"/>
        <v>18</v>
      </c>
      <c r="B83" s="74"/>
      <c r="C83" s="71" t="s">
        <v>53</v>
      </c>
      <c r="D83" s="72">
        <v>99.0</v>
      </c>
      <c r="E83" s="72">
        <f t="shared" si="12"/>
        <v>92.48646617</v>
      </c>
      <c r="F83" s="72">
        <f t="shared" si="19"/>
        <v>94.60286127</v>
      </c>
      <c r="G83" s="72">
        <f t="shared" si="17"/>
        <v>4.397138728</v>
      </c>
    </row>
    <row r="84" ht="15.75" customHeight="1">
      <c r="A84" s="71">
        <f t="shared" si="14"/>
        <v>19</v>
      </c>
      <c r="B84" s="73"/>
      <c r="C84" s="71" t="s">
        <v>55</v>
      </c>
      <c r="D84" s="72">
        <v>89.0</v>
      </c>
      <c r="E84" s="72">
        <f t="shared" si="12"/>
        <v>93.16466165</v>
      </c>
      <c r="F84" s="72">
        <f t="shared" si="19"/>
        <v>84.21062095</v>
      </c>
      <c r="G84" s="72">
        <f t="shared" si="17"/>
        <v>4.789379054</v>
      </c>
    </row>
    <row r="85" ht="15.75" customHeight="1">
      <c r="A85" s="71">
        <f t="shared" si="14"/>
        <v>20</v>
      </c>
      <c r="B85" s="73"/>
      <c r="C85" s="71" t="s">
        <v>56</v>
      </c>
      <c r="D85" s="72">
        <v>77.0</v>
      </c>
      <c r="E85" s="72">
        <f t="shared" si="12"/>
        <v>93.84285714</v>
      </c>
      <c r="F85" s="72">
        <f t="shared" si="19"/>
        <v>71.29480222</v>
      </c>
      <c r="G85" s="72">
        <f t="shared" si="17"/>
        <v>5.705197777</v>
      </c>
    </row>
    <row r="86" ht="15.75" customHeight="1">
      <c r="A86" s="71">
        <v>21.0</v>
      </c>
      <c r="B86" s="21" t="s">
        <v>65</v>
      </c>
      <c r="C86" s="71" t="s">
        <v>51</v>
      </c>
      <c r="D86" s="72"/>
      <c r="E86" s="72">
        <f t="shared" si="12"/>
        <v>94.52105263</v>
      </c>
      <c r="F86" s="75">
        <f t="shared" ref="F86:F89" si="20">E86*C56</f>
        <v>124.1535108</v>
      </c>
      <c r="G86" s="72"/>
    </row>
    <row r="87" ht="15.75" customHeight="1">
      <c r="A87" s="71">
        <v>22.0</v>
      </c>
      <c r="B87" s="73"/>
      <c r="C87" s="71" t="s">
        <v>53</v>
      </c>
      <c r="D87" s="73"/>
      <c r="E87" s="72">
        <f t="shared" si="12"/>
        <v>95.19924812</v>
      </c>
      <c r="F87" s="75">
        <f t="shared" si="20"/>
        <v>97.37772062</v>
      </c>
      <c r="G87" s="72"/>
    </row>
    <row r="88" ht="15.75" customHeight="1">
      <c r="A88" s="71">
        <v>23.0</v>
      </c>
      <c r="B88" s="73"/>
      <c r="C88" s="71" t="s">
        <v>55</v>
      </c>
      <c r="D88" s="73"/>
      <c r="E88" s="72">
        <f t="shared" si="12"/>
        <v>95.87744361</v>
      </c>
      <c r="F88" s="75">
        <f t="shared" si="20"/>
        <v>86.66267786</v>
      </c>
      <c r="G88" s="72"/>
    </row>
    <row r="89" ht="15.75" customHeight="1">
      <c r="A89" s="71">
        <v>24.0</v>
      </c>
      <c r="B89" s="73"/>
      <c r="C89" s="71" t="s">
        <v>56</v>
      </c>
      <c r="D89" s="73"/>
      <c r="E89" s="72">
        <f t="shared" si="12"/>
        <v>96.5556391</v>
      </c>
      <c r="F89" s="75">
        <f t="shared" si="20"/>
        <v>73.35577158</v>
      </c>
      <c r="G89" s="72"/>
    </row>
    <row r="90" ht="15.75" customHeight="1">
      <c r="A90" s="71">
        <v>25.0</v>
      </c>
      <c r="B90" s="73"/>
      <c r="C90" s="71" t="s">
        <v>51</v>
      </c>
      <c r="D90" s="73"/>
      <c r="E90" s="72">
        <f t="shared" si="12"/>
        <v>97.23383459</v>
      </c>
      <c r="F90" s="75">
        <f>E90*C56</f>
        <v>127.716753</v>
      </c>
      <c r="G90" s="72"/>
    </row>
    <row r="91" ht="15.75" customHeight="1"/>
    <row r="92" ht="15.75" customHeight="1">
      <c r="F92" s="76" t="s">
        <v>8</v>
      </c>
      <c r="G92" s="77">
        <f>AVERAGE(G76:G85)</f>
        <v>3.293339241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62:B65"/>
    <mergeCell ref="C62:C65"/>
    <mergeCell ref="E62:E65"/>
    <mergeCell ref="F62:F65"/>
    <mergeCell ref="G62:G65"/>
    <mergeCell ref="A62:A64"/>
    <mergeCell ref="B54:B55"/>
    <mergeCell ref="C54:D55"/>
    <mergeCell ref="C56:D56"/>
    <mergeCell ref="C57:D57"/>
    <mergeCell ref="C58:D58"/>
    <mergeCell ref="C59:D59"/>
    <mergeCell ref="D62:D65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16.22"/>
  </cols>
  <sheetData>
    <row r="3">
      <c r="A3" s="1"/>
      <c r="B3" s="1"/>
      <c r="C3" s="1"/>
      <c r="D3" s="1"/>
      <c r="E3" s="1"/>
      <c r="F3" s="78" t="s">
        <v>66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5">
      <c r="D5" s="51" t="s">
        <v>67</v>
      </c>
      <c r="E5" s="79">
        <v>0.1</v>
      </c>
    </row>
    <row r="7">
      <c r="C7" s="80" t="s">
        <v>36</v>
      </c>
      <c r="D7" s="5" t="s">
        <v>47</v>
      </c>
      <c r="E7" s="81" t="s">
        <v>37</v>
      </c>
      <c r="F7" s="81" t="s">
        <v>38</v>
      </c>
      <c r="G7" s="81" t="s">
        <v>39</v>
      </c>
      <c r="H7" s="81" t="s">
        <v>40</v>
      </c>
      <c r="I7" s="81" t="s">
        <v>68</v>
      </c>
      <c r="J7" s="81" t="s">
        <v>32</v>
      </c>
    </row>
    <row r="8">
      <c r="C8" s="82">
        <v>1.0</v>
      </c>
      <c r="D8" s="58">
        <v>100.0</v>
      </c>
      <c r="E8" s="59">
        <v>100.0</v>
      </c>
      <c r="F8" s="59">
        <v>100.0</v>
      </c>
      <c r="G8" s="4">
        <f t="shared" ref="G8:G27" si="2">(2*E8)-F8</f>
        <v>100</v>
      </c>
      <c r="H8" s="4">
        <f t="shared" ref="H8:H27" si="3">(($E$5/(1-$E$5))*(E8-F8))</f>
        <v>0</v>
      </c>
      <c r="I8" s="4"/>
      <c r="J8" s="4"/>
    </row>
    <row r="9">
      <c r="C9" s="82">
        <v>2.0</v>
      </c>
      <c r="D9" s="58">
        <v>82.0</v>
      </c>
      <c r="E9" s="4">
        <f t="shared" ref="E9:F9" si="1">($E$5*D9)+(1-$E$5)*E8</f>
        <v>98.2</v>
      </c>
      <c r="F9" s="4">
        <f t="shared" si="1"/>
        <v>99.82</v>
      </c>
      <c r="G9" s="4">
        <f t="shared" si="2"/>
        <v>96.58</v>
      </c>
      <c r="H9" s="4">
        <f t="shared" si="3"/>
        <v>-0.18</v>
      </c>
      <c r="I9" s="4">
        <f t="shared" ref="I9:I27" si="5">G8+H8</f>
        <v>100</v>
      </c>
      <c r="J9" s="4">
        <f t="shared" ref="J9:J27" si="6">abs(D9-I9)</f>
        <v>18</v>
      </c>
    </row>
    <row r="10">
      <c r="C10" s="82">
        <v>3.0</v>
      </c>
      <c r="D10" s="58">
        <v>70.0</v>
      </c>
      <c r="E10" s="4">
        <f t="shared" ref="E10:F10" si="4">($E$5*D10)+(1-$E$5)*E9</f>
        <v>95.38</v>
      </c>
      <c r="F10" s="4">
        <f t="shared" si="4"/>
        <v>99.376</v>
      </c>
      <c r="G10" s="4">
        <f t="shared" si="2"/>
        <v>91.384</v>
      </c>
      <c r="H10" s="4">
        <f t="shared" si="3"/>
        <v>-0.444</v>
      </c>
      <c r="I10" s="4">
        <f t="shared" si="5"/>
        <v>96.4</v>
      </c>
      <c r="J10" s="4">
        <f t="shared" si="6"/>
        <v>26.4</v>
      </c>
    </row>
    <row r="11">
      <c r="C11" s="82">
        <v>4.0</v>
      </c>
      <c r="D11" s="58">
        <v>55.0</v>
      </c>
      <c r="E11" s="4">
        <f t="shared" ref="E11:F11" si="7">($E$5*D11)+(1-$E$5)*E10</f>
        <v>91.342</v>
      </c>
      <c r="F11" s="4">
        <f t="shared" si="7"/>
        <v>98.5726</v>
      </c>
      <c r="G11" s="4">
        <f t="shared" si="2"/>
        <v>84.1114</v>
      </c>
      <c r="H11" s="4">
        <f t="shared" si="3"/>
        <v>-0.8034</v>
      </c>
      <c r="I11" s="4">
        <f t="shared" si="5"/>
        <v>90.94</v>
      </c>
      <c r="J11" s="4">
        <f t="shared" si="6"/>
        <v>35.94</v>
      </c>
    </row>
    <row r="12">
      <c r="C12" s="82">
        <v>5.0</v>
      </c>
      <c r="D12" s="58">
        <v>110.0</v>
      </c>
      <c r="E12" s="4">
        <f t="shared" ref="E12:F12" si="8">($E$5*D12)+(1-$E$5)*E11</f>
        <v>93.2078</v>
      </c>
      <c r="F12" s="4">
        <f t="shared" si="8"/>
        <v>98.03612</v>
      </c>
      <c r="G12" s="4">
        <f t="shared" si="2"/>
        <v>88.37948</v>
      </c>
      <c r="H12" s="4">
        <f t="shared" si="3"/>
        <v>-0.53648</v>
      </c>
      <c r="I12" s="4">
        <f t="shared" si="5"/>
        <v>83.308</v>
      </c>
      <c r="J12" s="4">
        <f t="shared" si="6"/>
        <v>26.692</v>
      </c>
    </row>
    <row r="13">
      <c r="C13" s="82">
        <v>6.0</v>
      </c>
      <c r="D13" s="58">
        <v>85.0</v>
      </c>
      <c r="E13" s="4">
        <f t="shared" ref="E13:F13" si="9">($E$5*D13)+(1-$E$5)*E12</f>
        <v>92.38702</v>
      </c>
      <c r="F13" s="4">
        <f t="shared" si="9"/>
        <v>97.47121</v>
      </c>
      <c r="G13" s="4">
        <f t="shared" si="2"/>
        <v>87.30283</v>
      </c>
      <c r="H13" s="4">
        <f t="shared" si="3"/>
        <v>-0.56491</v>
      </c>
      <c r="I13" s="4">
        <f t="shared" si="5"/>
        <v>87.843</v>
      </c>
      <c r="J13" s="4">
        <f t="shared" si="6"/>
        <v>2.843</v>
      </c>
    </row>
    <row r="14">
      <c r="C14" s="82">
        <v>7.0</v>
      </c>
      <c r="D14" s="58">
        <v>74.0</v>
      </c>
      <c r="E14" s="4">
        <f t="shared" ref="E14:F14" si="10">($E$5*D14)+(1-$E$5)*E13</f>
        <v>90.548318</v>
      </c>
      <c r="F14" s="4">
        <f t="shared" si="10"/>
        <v>96.7789208</v>
      </c>
      <c r="G14" s="4">
        <f t="shared" si="2"/>
        <v>84.3177152</v>
      </c>
      <c r="H14" s="4">
        <f t="shared" si="3"/>
        <v>-0.6922892</v>
      </c>
      <c r="I14" s="4">
        <f t="shared" si="5"/>
        <v>86.73792</v>
      </c>
      <c r="J14" s="4">
        <f t="shared" si="6"/>
        <v>12.73792</v>
      </c>
    </row>
    <row r="15">
      <c r="C15" s="82">
        <v>8.0</v>
      </c>
      <c r="D15" s="58">
        <v>62.0</v>
      </c>
      <c r="E15" s="4">
        <f t="shared" ref="E15:F15" si="11">($E$5*D15)+(1-$E$5)*E14</f>
        <v>87.6934862</v>
      </c>
      <c r="F15" s="4">
        <f t="shared" si="11"/>
        <v>95.87037734</v>
      </c>
      <c r="G15" s="4">
        <f t="shared" si="2"/>
        <v>79.51659506</v>
      </c>
      <c r="H15" s="4">
        <f t="shared" si="3"/>
        <v>-0.90854346</v>
      </c>
      <c r="I15" s="4">
        <f t="shared" si="5"/>
        <v>83.625426</v>
      </c>
      <c r="J15" s="4">
        <f t="shared" si="6"/>
        <v>21.625426</v>
      </c>
    </row>
    <row r="16">
      <c r="C16" s="82">
        <v>9.0</v>
      </c>
      <c r="D16" s="58">
        <v>115.0</v>
      </c>
      <c r="E16" s="4">
        <f t="shared" ref="E16:F16" si="12">($E$5*D16)+(1-$E$5)*E15</f>
        <v>90.42413758</v>
      </c>
      <c r="F16" s="4">
        <f t="shared" si="12"/>
        <v>95.32575336</v>
      </c>
      <c r="G16" s="4">
        <f t="shared" si="2"/>
        <v>85.5225218</v>
      </c>
      <c r="H16" s="4">
        <f t="shared" si="3"/>
        <v>-0.544623976</v>
      </c>
      <c r="I16" s="4">
        <f t="shared" si="5"/>
        <v>78.6080516</v>
      </c>
      <c r="J16" s="4">
        <f t="shared" si="6"/>
        <v>36.3919484</v>
      </c>
    </row>
    <row r="17">
      <c r="C17" s="82">
        <v>10.0</v>
      </c>
      <c r="D17" s="58">
        <v>88.0</v>
      </c>
      <c r="E17" s="4">
        <f t="shared" ref="E17:F17" si="13">($E$5*D17)+(1-$E$5)*E16</f>
        <v>90.18172382</v>
      </c>
      <c r="F17" s="4">
        <f t="shared" si="13"/>
        <v>94.81135041</v>
      </c>
      <c r="G17" s="4">
        <f t="shared" si="2"/>
        <v>85.55209723</v>
      </c>
      <c r="H17" s="4">
        <f t="shared" si="3"/>
        <v>-0.5144029542</v>
      </c>
      <c r="I17" s="4">
        <f t="shared" si="5"/>
        <v>84.97789782</v>
      </c>
      <c r="J17" s="4">
        <f t="shared" si="6"/>
        <v>3.02210218</v>
      </c>
    </row>
    <row r="18">
      <c r="C18" s="82">
        <v>11.0</v>
      </c>
      <c r="D18" s="58">
        <v>78.0</v>
      </c>
      <c r="E18" s="4">
        <f t="shared" ref="E18:F18" si="14">($E$5*D18)+(1-$E$5)*E17</f>
        <v>88.96355144</v>
      </c>
      <c r="F18" s="4">
        <f t="shared" si="14"/>
        <v>94.22657051</v>
      </c>
      <c r="G18" s="4">
        <f t="shared" si="2"/>
        <v>83.70053237</v>
      </c>
      <c r="H18" s="4">
        <f t="shared" si="3"/>
        <v>-0.584779897</v>
      </c>
      <c r="I18" s="4">
        <f t="shared" si="5"/>
        <v>85.03769428</v>
      </c>
      <c r="J18" s="4">
        <f t="shared" si="6"/>
        <v>7.03769428</v>
      </c>
    </row>
    <row r="19">
      <c r="C19" s="82">
        <v>12.0</v>
      </c>
      <c r="D19" s="58">
        <v>67.0</v>
      </c>
      <c r="E19" s="4">
        <f t="shared" ref="E19:F19" si="15">($E$5*D19)+(1-$E$5)*E18</f>
        <v>86.7671963</v>
      </c>
      <c r="F19" s="4">
        <f t="shared" si="15"/>
        <v>93.48063309</v>
      </c>
      <c r="G19" s="4">
        <f t="shared" si="2"/>
        <v>80.0537595</v>
      </c>
      <c r="H19" s="4">
        <f t="shared" si="3"/>
        <v>-0.7459374217</v>
      </c>
      <c r="I19" s="4">
        <f t="shared" si="5"/>
        <v>83.11575247</v>
      </c>
      <c r="J19" s="4">
        <f t="shared" si="6"/>
        <v>16.11575247</v>
      </c>
    </row>
    <row r="20">
      <c r="C20" s="82">
        <v>13.0</v>
      </c>
      <c r="D20" s="58">
        <v>121.0</v>
      </c>
      <c r="E20" s="4">
        <f t="shared" ref="E20:F20" si="16">($E$5*D20)+(1-$E$5)*E19</f>
        <v>90.19047667</v>
      </c>
      <c r="F20" s="4">
        <f t="shared" si="16"/>
        <v>93.15161745</v>
      </c>
      <c r="G20" s="4">
        <f t="shared" si="2"/>
        <v>87.22933588</v>
      </c>
      <c r="H20" s="4">
        <f t="shared" si="3"/>
        <v>-0.3290156425</v>
      </c>
      <c r="I20" s="4">
        <f t="shared" si="5"/>
        <v>79.30782208</v>
      </c>
      <c r="J20" s="4">
        <f t="shared" si="6"/>
        <v>41.69217792</v>
      </c>
    </row>
    <row r="21">
      <c r="C21" s="82">
        <v>14.0</v>
      </c>
      <c r="D21" s="58">
        <v>93.0</v>
      </c>
      <c r="E21" s="4">
        <f t="shared" ref="E21:F21" si="17">($E$5*D21)+(1-$E$5)*E20</f>
        <v>90.471429</v>
      </c>
      <c r="F21" s="4">
        <f t="shared" si="17"/>
        <v>92.8835986</v>
      </c>
      <c r="G21" s="4">
        <f t="shared" si="2"/>
        <v>88.0592594</v>
      </c>
      <c r="H21" s="4">
        <f t="shared" si="3"/>
        <v>-0.2680188449</v>
      </c>
      <c r="I21" s="4">
        <f t="shared" si="5"/>
        <v>86.90032024</v>
      </c>
      <c r="J21" s="4">
        <f t="shared" si="6"/>
        <v>6.099679759</v>
      </c>
    </row>
    <row r="22">
      <c r="C22" s="82">
        <v>15.0</v>
      </c>
      <c r="D22" s="58">
        <v>84.0</v>
      </c>
      <c r="E22" s="4">
        <f t="shared" ref="E22:F22" si="18">($E$5*D22)+(1-$E$5)*E21</f>
        <v>89.8242861</v>
      </c>
      <c r="F22" s="4">
        <f t="shared" si="18"/>
        <v>92.57766735</v>
      </c>
      <c r="G22" s="4">
        <f t="shared" si="2"/>
        <v>87.07090485</v>
      </c>
      <c r="H22" s="4">
        <f t="shared" si="3"/>
        <v>-0.3059312504</v>
      </c>
      <c r="I22" s="4">
        <f t="shared" si="5"/>
        <v>87.79124055</v>
      </c>
      <c r="J22" s="4">
        <f t="shared" si="6"/>
        <v>3.791240551</v>
      </c>
    </row>
    <row r="23">
      <c r="C23" s="82">
        <v>16.0</v>
      </c>
      <c r="D23" s="58">
        <v>71.0</v>
      </c>
      <c r="E23" s="4">
        <f t="shared" ref="E23:F23" si="19">($E$5*D23)+(1-$E$5)*E22</f>
        <v>87.94185749</v>
      </c>
      <c r="F23" s="4">
        <f t="shared" si="19"/>
        <v>92.11408637</v>
      </c>
      <c r="G23" s="4">
        <f t="shared" si="2"/>
        <v>83.76962861</v>
      </c>
      <c r="H23" s="4">
        <f t="shared" si="3"/>
        <v>-0.4635809864</v>
      </c>
      <c r="I23" s="4">
        <f t="shared" si="5"/>
        <v>86.7649736</v>
      </c>
      <c r="J23" s="4">
        <f t="shared" si="6"/>
        <v>15.7649736</v>
      </c>
    </row>
    <row r="24">
      <c r="C24" s="82">
        <v>17.0</v>
      </c>
      <c r="D24" s="58">
        <v>128.0</v>
      </c>
      <c r="E24" s="4">
        <f t="shared" ref="E24:F24" si="20">($E$5*D24)+(1-$E$5)*E23</f>
        <v>91.94767174</v>
      </c>
      <c r="F24" s="4">
        <f t="shared" si="20"/>
        <v>92.0974449</v>
      </c>
      <c r="G24" s="4">
        <f t="shared" si="2"/>
        <v>91.79789858</v>
      </c>
      <c r="H24" s="4">
        <f t="shared" si="3"/>
        <v>-0.01664146262</v>
      </c>
      <c r="I24" s="4">
        <f t="shared" si="5"/>
        <v>83.30604763</v>
      </c>
      <c r="J24" s="4">
        <f t="shared" si="6"/>
        <v>44.69395237</v>
      </c>
    </row>
    <row r="25">
      <c r="C25" s="82">
        <v>18.0</v>
      </c>
      <c r="D25" s="58">
        <v>99.0</v>
      </c>
      <c r="E25" s="4">
        <f t="shared" ref="E25:F25" si="21">($E$5*D25)+(1-$E$5)*E24</f>
        <v>92.65290457</v>
      </c>
      <c r="F25" s="4">
        <f t="shared" si="21"/>
        <v>92.15299087</v>
      </c>
      <c r="G25" s="4">
        <f t="shared" si="2"/>
        <v>93.15281826</v>
      </c>
      <c r="H25" s="4">
        <f t="shared" si="3"/>
        <v>0.05554596623</v>
      </c>
      <c r="I25" s="4">
        <f t="shared" si="5"/>
        <v>91.78125711</v>
      </c>
      <c r="J25" s="4">
        <f t="shared" si="6"/>
        <v>7.218742886</v>
      </c>
    </row>
    <row r="26">
      <c r="C26" s="82">
        <v>19.0</v>
      </c>
      <c r="D26" s="58">
        <v>89.0</v>
      </c>
      <c r="E26" s="4">
        <f t="shared" ref="E26:F26" si="22">($E$5*D26)+(1-$E$5)*E25</f>
        <v>92.28761411</v>
      </c>
      <c r="F26" s="4">
        <f t="shared" si="22"/>
        <v>92.16645319</v>
      </c>
      <c r="G26" s="4">
        <f t="shared" si="2"/>
        <v>92.40877503</v>
      </c>
      <c r="H26" s="4">
        <f t="shared" si="3"/>
        <v>0.01346232394</v>
      </c>
      <c r="I26" s="4">
        <f t="shared" si="5"/>
        <v>93.20836423</v>
      </c>
      <c r="J26" s="4">
        <f t="shared" si="6"/>
        <v>4.208364229</v>
      </c>
      <c r="K26" s="51" t="s">
        <v>8</v>
      </c>
    </row>
    <row r="27">
      <c r="C27" s="82">
        <v>20.0</v>
      </c>
      <c r="D27" s="58">
        <v>77.0</v>
      </c>
      <c r="E27" s="4">
        <f t="shared" ref="E27:F27" si="23">($E$5*D27)+(1-$E$5)*E26</f>
        <v>90.7588527</v>
      </c>
      <c r="F27" s="4">
        <f t="shared" si="23"/>
        <v>92.02569314</v>
      </c>
      <c r="G27" s="4">
        <f t="shared" si="2"/>
        <v>89.49201225</v>
      </c>
      <c r="H27" s="4">
        <f t="shared" si="3"/>
        <v>-0.1407600496</v>
      </c>
      <c r="I27" s="4">
        <f t="shared" si="5"/>
        <v>92.42223735</v>
      </c>
      <c r="J27" s="4">
        <f t="shared" si="6"/>
        <v>15.42223735</v>
      </c>
      <c r="K27" s="60">
        <f>AVERAGE(J18:J27)</f>
        <v>16.20448154</v>
      </c>
    </row>
    <row r="28">
      <c r="C28" s="80">
        <v>21.0</v>
      </c>
      <c r="D28" s="58"/>
      <c r="E28" s="4"/>
      <c r="F28" s="4"/>
      <c r="G28" s="4"/>
      <c r="H28" s="4"/>
      <c r="I28" s="53">
        <f>G27+(H27*2)</f>
        <v>89.21049215</v>
      </c>
      <c r="J28" s="4"/>
    </row>
    <row r="29">
      <c r="C29" s="80">
        <v>22.0</v>
      </c>
      <c r="D29" s="4"/>
      <c r="E29" s="4"/>
      <c r="F29" s="4"/>
      <c r="G29" s="4"/>
      <c r="H29" s="4"/>
      <c r="I29" s="53">
        <f>G27+(H27*3)</f>
        <v>89.0697321</v>
      </c>
      <c r="J29" s="4"/>
    </row>
    <row r="30">
      <c r="C30" s="80">
        <v>23.0</v>
      </c>
      <c r="D30" s="4"/>
      <c r="E30" s="4"/>
      <c r="F30" s="4"/>
      <c r="G30" s="4"/>
      <c r="H30" s="4"/>
      <c r="I30" s="53">
        <f>G27+(H27*4)</f>
        <v>88.92897205</v>
      </c>
      <c r="J30" s="4"/>
    </row>
    <row r="31">
      <c r="C31" s="80">
        <v>24.0</v>
      </c>
      <c r="D31" s="4"/>
      <c r="E31" s="4"/>
      <c r="F31" s="4"/>
      <c r="G31" s="4"/>
      <c r="H31" s="4"/>
      <c r="I31" s="53">
        <f>G27+(H27*5)</f>
        <v>88.78821201</v>
      </c>
      <c r="J31" s="4"/>
    </row>
    <row r="32">
      <c r="C32" s="80">
        <v>25.0</v>
      </c>
      <c r="D32" s="4"/>
      <c r="E32" s="4"/>
      <c r="F32" s="4"/>
      <c r="G32" s="4"/>
      <c r="H32" s="4"/>
      <c r="I32" s="53">
        <f>(G27+(H27*6))</f>
        <v>88.64745196</v>
      </c>
      <c r="J32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1.89"/>
    <col customWidth="1" min="4" max="26" width="10.56"/>
  </cols>
  <sheetData>
    <row r="1" ht="15.75" customHeight="1">
      <c r="B1" s="13" t="s">
        <v>9</v>
      </c>
      <c r="C1" s="13">
        <v>10.0</v>
      </c>
    </row>
    <row r="2" ht="15.75" customHeight="1">
      <c r="C2" s="13" t="s">
        <v>45</v>
      </c>
      <c r="D2" s="13" t="s">
        <v>69</v>
      </c>
      <c r="E2" s="13" t="s">
        <v>2</v>
      </c>
      <c r="F2" s="11" t="s">
        <v>3</v>
      </c>
      <c r="I2" s="11" t="s">
        <v>4</v>
      </c>
      <c r="J2" s="11" t="s">
        <v>3</v>
      </c>
      <c r="K2" s="11" t="s">
        <v>5</v>
      </c>
      <c r="L2" s="11" t="s">
        <v>3</v>
      </c>
      <c r="M2" s="11" t="s">
        <v>6</v>
      </c>
      <c r="N2" s="11" t="s">
        <v>3</v>
      </c>
    </row>
    <row r="3" ht="15.75" customHeight="1">
      <c r="C3" s="13">
        <v>1.0</v>
      </c>
      <c r="D3" s="83">
        <v>18.0</v>
      </c>
      <c r="G3" s="11"/>
      <c r="H3" s="11"/>
      <c r="I3" s="11"/>
      <c r="J3" s="11"/>
      <c r="K3" s="11"/>
      <c r="L3" s="11"/>
    </row>
    <row r="4" ht="15.75" customHeight="1">
      <c r="C4" s="13">
        <v>2.0</v>
      </c>
      <c r="D4" s="83">
        <v>22.0</v>
      </c>
      <c r="E4" s="83">
        <v>18.0</v>
      </c>
      <c r="F4" s="13">
        <f t="shared" ref="F4:F22" si="1">ABS(D4-E4)</f>
        <v>4</v>
      </c>
    </row>
    <row r="5" ht="15.75" customHeight="1">
      <c r="C5" s="13">
        <v>3.0</v>
      </c>
      <c r="D5" s="83">
        <v>25.0</v>
      </c>
      <c r="E5" s="83">
        <v>22.0</v>
      </c>
      <c r="F5" s="13">
        <f t="shared" si="1"/>
        <v>3</v>
      </c>
      <c r="I5" s="13">
        <f t="shared" ref="I5:I23" si="2">(D3+D4)/2</f>
        <v>20</v>
      </c>
      <c r="J5" s="13">
        <f t="shared" ref="J5:J22" si="3">ABS(D5-I5)</f>
        <v>5</v>
      </c>
    </row>
    <row r="6" ht="15.75" customHeight="1">
      <c r="C6" s="13">
        <v>4.0</v>
      </c>
      <c r="D6" s="83">
        <v>27.0</v>
      </c>
      <c r="E6" s="83">
        <v>25.0</v>
      </c>
      <c r="F6" s="13">
        <f t="shared" si="1"/>
        <v>2</v>
      </c>
      <c r="I6" s="13">
        <f t="shared" si="2"/>
        <v>23.5</v>
      </c>
      <c r="J6" s="13">
        <f t="shared" si="3"/>
        <v>3.5</v>
      </c>
      <c r="K6" s="13">
        <f t="shared" ref="K6:K23" si="4">AVERAGE(D3:D5)</f>
        <v>21.66666667</v>
      </c>
      <c r="L6" s="13">
        <f t="shared" ref="L6:L22" si="5">ABS(D6-K6)</f>
        <v>5.333333333</v>
      </c>
    </row>
    <row r="7" ht="15.75" customHeight="1">
      <c r="C7" s="13">
        <v>5.0</v>
      </c>
      <c r="D7" s="83">
        <v>32.0</v>
      </c>
      <c r="E7" s="83">
        <v>27.0</v>
      </c>
      <c r="F7" s="13">
        <f t="shared" si="1"/>
        <v>5</v>
      </c>
      <c r="I7" s="13">
        <f t="shared" si="2"/>
        <v>26</v>
      </c>
      <c r="J7" s="13">
        <f t="shared" si="3"/>
        <v>6</v>
      </c>
      <c r="K7" s="13">
        <f t="shared" si="4"/>
        <v>24.66666667</v>
      </c>
      <c r="L7" s="13">
        <f t="shared" si="5"/>
        <v>7.333333333</v>
      </c>
      <c r="M7" s="13">
        <f t="shared" ref="M7:M23" si="6">AVERAGE(D3:D6)</f>
        <v>23</v>
      </c>
      <c r="N7" s="13">
        <f t="shared" ref="N7:N22" si="7">ABS(D7-M7)</f>
        <v>9</v>
      </c>
    </row>
    <row r="8" ht="15.75" customHeight="1">
      <c r="C8" s="13">
        <v>6.0</v>
      </c>
      <c r="D8" s="83">
        <v>35.0</v>
      </c>
      <c r="E8" s="83">
        <v>32.0</v>
      </c>
      <c r="F8" s="13">
        <f t="shared" si="1"/>
        <v>3</v>
      </c>
      <c r="I8" s="13">
        <f t="shared" si="2"/>
        <v>29.5</v>
      </c>
      <c r="J8" s="13">
        <f t="shared" si="3"/>
        <v>5.5</v>
      </c>
      <c r="K8" s="13">
        <f t="shared" si="4"/>
        <v>28</v>
      </c>
      <c r="L8" s="13">
        <f t="shared" si="5"/>
        <v>7</v>
      </c>
      <c r="M8" s="13">
        <f t="shared" si="6"/>
        <v>26.5</v>
      </c>
      <c r="N8" s="13">
        <f t="shared" si="7"/>
        <v>8.5</v>
      </c>
    </row>
    <row r="9" ht="15.75" customHeight="1">
      <c r="C9" s="13">
        <v>7.0</v>
      </c>
      <c r="D9" s="83">
        <v>39.0</v>
      </c>
      <c r="E9" s="83">
        <v>35.0</v>
      </c>
      <c r="F9" s="13">
        <f t="shared" si="1"/>
        <v>4</v>
      </c>
      <c r="I9" s="13">
        <f t="shared" si="2"/>
        <v>33.5</v>
      </c>
      <c r="J9" s="13">
        <f t="shared" si="3"/>
        <v>5.5</v>
      </c>
      <c r="K9" s="13">
        <f t="shared" si="4"/>
        <v>31.33333333</v>
      </c>
      <c r="L9" s="13">
        <f t="shared" si="5"/>
        <v>7.666666667</v>
      </c>
      <c r="M9" s="13">
        <f t="shared" si="6"/>
        <v>29.75</v>
      </c>
      <c r="N9" s="13">
        <f t="shared" si="7"/>
        <v>9.25</v>
      </c>
    </row>
    <row r="10" ht="15.75" customHeight="1">
      <c r="C10" s="13">
        <v>8.0</v>
      </c>
      <c r="D10" s="83">
        <v>41.0</v>
      </c>
      <c r="E10" s="83">
        <v>39.0</v>
      </c>
      <c r="F10" s="13">
        <f t="shared" si="1"/>
        <v>2</v>
      </c>
      <c r="I10" s="13">
        <f t="shared" si="2"/>
        <v>37</v>
      </c>
      <c r="J10" s="13">
        <f t="shared" si="3"/>
        <v>4</v>
      </c>
      <c r="K10" s="13">
        <f t="shared" si="4"/>
        <v>35.33333333</v>
      </c>
      <c r="L10" s="13">
        <f t="shared" si="5"/>
        <v>5.666666667</v>
      </c>
      <c r="M10" s="13">
        <f t="shared" si="6"/>
        <v>33.25</v>
      </c>
      <c r="N10" s="13">
        <f t="shared" si="7"/>
        <v>7.75</v>
      </c>
    </row>
    <row r="11" ht="15.75" customHeight="1">
      <c r="C11" s="13">
        <v>9.0</v>
      </c>
      <c r="D11" s="83">
        <v>43.0</v>
      </c>
      <c r="E11" s="83">
        <v>41.0</v>
      </c>
      <c r="F11" s="13">
        <f t="shared" si="1"/>
        <v>2</v>
      </c>
      <c r="I11" s="13">
        <f t="shared" si="2"/>
        <v>40</v>
      </c>
      <c r="J11" s="13">
        <f t="shared" si="3"/>
        <v>3</v>
      </c>
      <c r="K11" s="13">
        <f t="shared" si="4"/>
        <v>38.33333333</v>
      </c>
      <c r="L11" s="13">
        <f t="shared" si="5"/>
        <v>4.666666667</v>
      </c>
      <c r="M11" s="13">
        <f t="shared" si="6"/>
        <v>36.75</v>
      </c>
      <c r="N11" s="13">
        <f t="shared" si="7"/>
        <v>6.25</v>
      </c>
    </row>
    <row r="12" ht="15.75" customHeight="1">
      <c r="C12" s="13">
        <v>10.0</v>
      </c>
      <c r="D12" s="83">
        <v>47.0</v>
      </c>
      <c r="E12" s="83">
        <v>43.0</v>
      </c>
      <c r="F12" s="13">
        <f t="shared" si="1"/>
        <v>4</v>
      </c>
      <c r="I12" s="13">
        <f t="shared" si="2"/>
        <v>42</v>
      </c>
      <c r="J12" s="13">
        <f t="shared" si="3"/>
        <v>5</v>
      </c>
      <c r="K12" s="13">
        <f t="shared" si="4"/>
        <v>41</v>
      </c>
      <c r="L12" s="13">
        <f t="shared" si="5"/>
        <v>6</v>
      </c>
      <c r="M12" s="13">
        <f t="shared" si="6"/>
        <v>39.5</v>
      </c>
      <c r="N12" s="13">
        <f t="shared" si="7"/>
        <v>7.5</v>
      </c>
    </row>
    <row r="13" ht="15.75" customHeight="1">
      <c r="C13" s="13">
        <v>11.0</v>
      </c>
      <c r="D13" s="83">
        <v>53.0</v>
      </c>
      <c r="E13" s="83">
        <v>47.0</v>
      </c>
      <c r="F13" s="13">
        <f t="shared" si="1"/>
        <v>6</v>
      </c>
      <c r="I13" s="13">
        <f t="shared" si="2"/>
        <v>45</v>
      </c>
      <c r="J13" s="13">
        <f t="shared" si="3"/>
        <v>8</v>
      </c>
      <c r="K13" s="13">
        <f t="shared" si="4"/>
        <v>43.66666667</v>
      </c>
      <c r="L13" s="13">
        <f t="shared" si="5"/>
        <v>9.333333333</v>
      </c>
      <c r="M13" s="13">
        <f t="shared" si="6"/>
        <v>42.5</v>
      </c>
      <c r="N13" s="13">
        <f t="shared" si="7"/>
        <v>10.5</v>
      </c>
    </row>
    <row r="14" ht="15.75" customHeight="1">
      <c r="C14" s="13">
        <v>12.0</v>
      </c>
      <c r="D14" s="83">
        <v>55.0</v>
      </c>
      <c r="E14" s="83">
        <v>53.0</v>
      </c>
      <c r="F14" s="13">
        <f t="shared" si="1"/>
        <v>2</v>
      </c>
      <c r="I14" s="13">
        <f t="shared" si="2"/>
        <v>50</v>
      </c>
      <c r="J14" s="13">
        <f t="shared" si="3"/>
        <v>5</v>
      </c>
      <c r="K14" s="13">
        <f t="shared" si="4"/>
        <v>47.66666667</v>
      </c>
      <c r="L14" s="13">
        <f t="shared" si="5"/>
        <v>7.333333333</v>
      </c>
      <c r="M14" s="13">
        <f t="shared" si="6"/>
        <v>46</v>
      </c>
      <c r="N14" s="13">
        <f t="shared" si="7"/>
        <v>9</v>
      </c>
    </row>
    <row r="15" ht="15.75" customHeight="1">
      <c r="C15" s="13">
        <v>13.0</v>
      </c>
      <c r="D15" s="83">
        <v>58.0</v>
      </c>
      <c r="E15" s="83">
        <v>55.0</v>
      </c>
      <c r="F15" s="13">
        <f t="shared" si="1"/>
        <v>3</v>
      </c>
      <c r="I15" s="13">
        <f t="shared" si="2"/>
        <v>54</v>
      </c>
      <c r="J15" s="13">
        <f t="shared" si="3"/>
        <v>4</v>
      </c>
      <c r="K15" s="13">
        <f t="shared" si="4"/>
        <v>51.66666667</v>
      </c>
      <c r="L15" s="13">
        <f t="shared" si="5"/>
        <v>6.333333333</v>
      </c>
      <c r="M15" s="13">
        <f t="shared" si="6"/>
        <v>49.5</v>
      </c>
      <c r="N15" s="13">
        <f t="shared" si="7"/>
        <v>8.5</v>
      </c>
    </row>
    <row r="16" ht="15.75" customHeight="1">
      <c r="C16" s="13">
        <v>14.0</v>
      </c>
      <c r="D16" s="83">
        <v>60.0</v>
      </c>
      <c r="E16" s="83">
        <v>58.0</v>
      </c>
      <c r="F16" s="13">
        <f t="shared" si="1"/>
        <v>2</v>
      </c>
      <c r="I16" s="13">
        <f t="shared" si="2"/>
        <v>56.5</v>
      </c>
      <c r="J16" s="13">
        <f t="shared" si="3"/>
        <v>3.5</v>
      </c>
      <c r="K16" s="13">
        <f t="shared" si="4"/>
        <v>55.33333333</v>
      </c>
      <c r="L16" s="13">
        <f t="shared" si="5"/>
        <v>4.666666667</v>
      </c>
      <c r="M16" s="13">
        <f t="shared" si="6"/>
        <v>53.25</v>
      </c>
      <c r="N16" s="13">
        <f t="shared" si="7"/>
        <v>6.75</v>
      </c>
    </row>
    <row r="17" ht="15.75" customHeight="1">
      <c r="C17" s="13">
        <v>15.0</v>
      </c>
      <c r="D17" s="83">
        <v>64.0</v>
      </c>
      <c r="E17" s="83">
        <v>60.0</v>
      </c>
      <c r="F17" s="13">
        <f t="shared" si="1"/>
        <v>4</v>
      </c>
      <c r="I17" s="13">
        <f t="shared" si="2"/>
        <v>59</v>
      </c>
      <c r="J17" s="13">
        <f t="shared" si="3"/>
        <v>5</v>
      </c>
      <c r="K17" s="13">
        <f t="shared" si="4"/>
        <v>57.66666667</v>
      </c>
      <c r="L17" s="13">
        <f t="shared" si="5"/>
        <v>6.333333333</v>
      </c>
      <c r="M17" s="13">
        <f t="shared" si="6"/>
        <v>56.5</v>
      </c>
      <c r="N17" s="13">
        <f t="shared" si="7"/>
        <v>7.5</v>
      </c>
    </row>
    <row r="18" ht="15.75" customHeight="1">
      <c r="C18" s="13">
        <v>16.0</v>
      </c>
      <c r="D18" s="83">
        <v>66.0</v>
      </c>
      <c r="E18" s="83">
        <v>64.0</v>
      </c>
      <c r="F18" s="13">
        <f t="shared" si="1"/>
        <v>2</v>
      </c>
      <c r="I18" s="13">
        <f t="shared" si="2"/>
        <v>62</v>
      </c>
      <c r="J18" s="13">
        <f t="shared" si="3"/>
        <v>4</v>
      </c>
      <c r="K18" s="13">
        <f t="shared" si="4"/>
        <v>60.66666667</v>
      </c>
      <c r="L18" s="13">
        <f t="shared" si="5"/>
        <v>5.333333333</v>
      </c>
      <c r="M18" s="13">
        <f t="shared" si="6"/>
        <v>59.25</v>
      </c>
      <c r="N18" s="13">
        <f t="shared" si="7"/>
        <v>6.75</v>
      </c>
    </row>
    <row r="19" ht="15.75" customHeight="1">
      <c r="C19" s="13">
        <v>17.0</v>
      </c>
      <c r="D19" s="83">
        <v>69.0</v>
      </c>
      <c r="E19" s="83">
        <v>66.0</v>
      </c>
      <c r="F19" s="13">
        <f t="shared" si="1"/>
        <v>3</v>
      </c>
      <c r="I19" s="13">
        <f t="shared" si="2"/>
        <v>65</v>
      </c>
      <c r="J19" s="13">
        <f t="shared" si="3"/>
        <v>4</v>
      </c>
      <c r="K19" s="13">
        <f t="shared" si="4"/>
        <v>63.33333333</v>
      </c>
      <c r="L19" s="13">
        <f t="shared" si="5"/>
        <v>5.666666667</v>
      </c>
      <c r="M19" s="13">
        <f t="shared" si="6"/>
        <v>62</v>
      </c>
      <c r="N19" s="13">
        <f t="shared" si="7"/>
        <v>7</v>
      </c>
    </row>
    <row r="20" ht="15.75" customHeight="1">
      <c r="C20" s="13">
        <v>18.0</v>
      </c>
      <c r="D20" s="83">
        <v>72.0</v>
      </c>
      <c r="E20" s="83">
        <v>69.0</v>
      </c>
      <c r="F20" s="13">
        <f t="shared" si="1"/>
        <v>3</v>
      </c>
      <c r="I20" s="13">
        <f t="shared" si="2"/>
        <v>67.5</v>
      </c>
      <c r="J20" s="13">
        <f t="shared" si="3"/>
        <v>4.5</v>
      </c>
      <c r="K20" s="13">
        <f t="shared" si="4"/>
        <v>66.33333333</v>
      </c>
      <c r="L20" s="13">
        <f t="shared" si="5"/>
        <v>5.666666667</v>
      </c>
      <c r="M20" s="13">
        <f t="shared" si="6"/>
        <v>64.75</v>
      </c>
      <c r="N20" s="13">
        <f t="shared" si="7"/>
        <v>7.25</v>
      </c>
    </row>
    <row r="21" ht="15.75" customHeight="1">
      <c r="C21" s="13">
        <v>19.0</v>
      </c>
      <c r="D21" s="83">
        <v>75.0</v>
      </c>
      <c r="E21" s="83">
        <v>72.0</v>
      </c>
      <c r="F21" s="13">
        <f t="shared" si="1"/>
        <v>3</v>
      </c>
      <c r="I21" s="13">
        <f t="shared" si="2"/>
        <v>70.5</v>
      </c>
      <c r="J21" s="13">
        <f t="shared" si="3"/>
        <v>4.5</v>
      </c>
      <c r="K21" s="13">
        <f t="shared" si="4"/>
        <v>69</v>
      </c>
      <c r="L21" s="13">
        <f t="shared" si="5"/>
        <v>6</v>
      </c>
      <c r="M21" s="13">
        <f t="shared" si="6"/>
        <v>67.75</v>
      </c>
      <c r="N21" s="13">
        <f t="shared" si="7"/>
        <v>7.25</v>
      </c>
    </row>
    <row r="22" ht="15.75" customHeight="1">
      <c r="C22" s="13">
        <v>20.0</v>
      </c>
      <c r="D22" s="83">
        <v>79.0</v>
      </c>
      <c r="E22" s="83">
        <v>75.0</v>
      </c>
      <c r="F22" s="13">
        <f t="shared" si="1"/>
        <v>4</v>
      </c>
      <c r="I22" s="13">
        <f t="shared" si="2"/>
        <v>73.5</v>
      </c>
      <c r="J22" s="13">
        <f t="shared" si="3"/>
        <v>5.5</v>
      </c>
      <c r="K22" s="13">
        <f t="shared" si="4"/>
        <v>72</v>
      </c>
      <c r="L22" s="13">
        <f t="shared" si="5"/>
        <v>7</v>
      </c>
      <c r="M22" s="13">
        <f t="shared" si="6"/>
        <v>70.5</v>
      </c>
      <c r="N22" s="13">
        <f t="shared" si="7"/>
        <v>8.5</v>
      </c>
    </row>
    <row r="23" ht="15.75" customHeight="1">
      <c r="C23" s="23">
        <v>21.0</v>
      </c>
      <c r="E23" s="83">
        <v>79.0</v>
      </c>
      <c r="I23" s="13">
        <f t="shared" si="2"/>
        <v>77</v>
      </c>
      <c r="K23" s="13">
        <f t="shared" si="4"/>
        <v>75.33333333</v>
      </c>
      <c r="M23" s="13">
        <f t="shared" si="6"/>
        <v>73.75</v>
      </c>
    </row>
    <row r="24" ht="15.75" customHeight="1"/>
    <row r="25" ht="15.75" customHeight="1"/>
    <row r="26" ht="15.75" customHeight="1">
      <c r="M26" s="84"/>
      <c r="N26" s="35"/>
      <c r="O26" s="35"/>
    </row>
    <row r="27" ht="15.75" customHeight="1">
      <c r="M27" s="84"/>
      <c r="N27" s="35"/>
      <c r="O27" s="35"/>
    </row>
    <row r="28" ht="15.75" customHeight="1">
      <c r="M28" s="19"/>
      <c r="N28" s="19"/>
      <c r="O28" s="19"/>
    </row>
    <row r="29" ht="15.75" customHeight="1">
      <c r="F29" s="13" t="s">
        <v>13</v>
      </c>
      <c r="G29" s="13">
        <v>0.1</v>
      </c>
      <c r="I29" s="13" t="s">
        <v>13</v>
      </c>
      <c r="J29" s="13">
        <v>0.5</v>
      </c>
      <c r="M29" s="19"/>
      <c r="N29" s="19"/>
      <c r="O29" s="19"/>
    </row>
    <row r="30" ht="15.75" customHeight="1">
      <c r="C30" s="13" t="s">
        <v>45</v>
      </c>
      <c r="D30" s="13" t="s">
        <v>69</v>
      </c>
      <c r="E30" s="13" t="s">
        <v>11</v>
      </c>
      <c r="F30" s="11" t="s">
        <v>3</v>
      </c>
      <c r="H30" s="13" t="s">
        <v>11</v>
      </c>
      <c r="I30" s="11" t="s">
        <v>3</v>
      </c>
      <c r="M30" s="19"/>
      <c r="N30" s="19"/>
      <c r="O30" s="19"/>
    </row>
    <row r="31" ht="15.75" customHeight="1">
      <c r="C31" s="13">
        <v>1.0</v>
      </c>
      <c r="D31" s="83">
        <v>18.0</v>
      </c>
      <c r="E31" s="13">
        <v>18.0</v>
      </c>
      <c r="F31" s="13">
        <f t="shared" ref="F31:F50" si="8">ABS(D31-E31)</f>
        <v>0</v>
      </c>
      <c r="H31" s="13">
        <v>18.0</v>
      </c>
      <c r="I31" s="13">
        <f t="shared" ref="I31:I50" si="9">ABS(D31-H31)</f>
        <v>0</v>
      </c>
      <c r="M31" s="19"/>
      <c r="N31" s="35"/>
      <c r="O31" s="19"/>
    </row>
    <row r="32" ht="15.75" customHeight="1">
      <c r="C32" s="13">
        <v>2.0</v>
      </c>
      <c r="D32" s="83">
        <v>22.0</v>
      </c>
      <c r="E32" s="13">
        <f t="shared" ref="E32:E51" si="10">E31+$G$29*(D31-E31)</f>
        <v>18</v>
      </c>
      <c r="F32" s="13">
        <f t="shared" si="8"/>
        <v>4</v>
      </c>
      <c r="H32" s="13">
        <f>E31+$J$29*(D31-H31)</f>
        <v>18</v>
      </c>
      <c r="I32" s="13">
        <f t="shared" si="9"/>
        <v>4</v>
      </c>
      <c r="M32" s="19"/>
      <c r="N32" s="35"/>
      <c r="O32" s="19"/>
    </row>
    <row r="33" ht="15.75" customHeight="1">
      <c r="C33" s="13">
        <v>3.0</v>
      </c>
      <c r="D33" s="83">
        <v>25.0</v>
      </c>
      <c r="E33" s="13">
        <f t="shared" si="10"/>
        <v>18.4</v>
      </c>
      <c r="F33" s="13">
        <f t="shared" si="8"/>
        <v>6.6</v>
      </c>
      <c r="H33" s="13">
        <f t="shared" ref="H33:H51" si="11">E32+$J$29*(D32-E32)</f>
        <v>20</v>
      </c>
      <c r="I33" s="13">
        <f t="shared" si="9"/>
        <v>5</v>
      </c>
    </row>
    <row r="34" ht="15.75" customHeight="1">
      <c r="C34" s="13">
        <v>4.0</v>
      </c>
      <c r="D34" s="83">
        <v>27.0</v>
      </c>
      <c r="E34" s="13">
        <f t="shared" si="10"/>
        <v>19.06</v>
      </c>
      <c r="F34" s="13">
        <f t="shared" si="8"/>
        <v>7.94</v>
      </c>
      <c r="H34" s="13">
        <f t="shared" si="11"/>
        <v>21.7</v>
      </c>
      <c r="I34" s="13">
        <f t="shared" si="9"/>
        <v>5.3</v>
      </c>
    </row>
    <row r="35" ht="15.75" customHeight="1">
      <c r="C35" s="13">
        <v>5.0</v>
      </c>
      <c r="D35" s="83">
        <v>32.0</v>
      </c>
      <c r="E35" s="13">
        <f t="shared" si="10"/>
        <v>19.854</v>
      </c>
      <c r="F35" s="13">
        <f t="shared" si="8"/>
        <v>12.146</v>
      </c>
      <c r="H35" s="13">
        <f t="shared" si="11"/>
        <v>23.03</v>
      </c>
      <c r="I35" s="13">
        <f t="shared" si="9"/>
        <v>8.97</v>
      </c>
    </row>
    <row r="36" ht="15.75" customHeight="1">
      <c r="C36" s="13">
        <v>6.0</v>
      </c>
      <c r="D36" s="83">
        <v>35.0</v>
      </c>
      <c r="E36" s="13">
        <f t="shared" si="10"/>
        <v>21.0686</v>
      </c>
      <c r="F36" s="13">
        <f t="shared" si="8"/>
        <v>13.9314</v>
      </c>
      <c r="H36" s="13">
        <f t="shared" si="11"/>
        <v>25.927</v>
      </c>
      <c r="I36" s="13">
        <f t="shared" si="9"/>
        <v>9.073</v>
      </c>
    </row>
    <row r="37" ht="15.75" customHeight="1">
      <c r="C37" s="13">
        <v>7.0</v>
      </c>
      <c r="D37" s="83">
        <v>39.0</v>
      </c>
      <c r="E37" s="13">
        <f t="shared" si="10"/>
        <v>22.46174</v>
      </c>
      <c r="F37" s="13">
        <f t="shared" si="8"/>
        <v>16.53826</v>
      </c>
      <c r="H37" s="13">
        <f t="shared" si="11"/>
        <v>28.0343</v>
      </c>
      <c r="I37" s="13">
        <f t="shared" si="9"/>
        <v>10.9657</v>
      </c>
    </row>
    <row r="38" ht="15.75" customHeight="1">
      <c r="C38" s="13">
        <v>8.0</v>
      </c>
      <c r="D38" s="83">
        <v>41.0</v>
      </c>
      <c r="E38" s="13">
        <f t="shared" si="10"/>
        <v>24.115566</v>
      </c>
      <c r="F38" s="13">
        <f t="shared" si="8"/>
        <v>16.884434</v>
      </c>
      <c r="H38" s="13">
        <f t="shared" si="11"/>
        <v>30.73087</v>
      </c>
      <c r="I38" s="13">
        <f t="shared" si="9"/>
        <v>10.26913</v>
      </c>
    </row>
    <row r="39" ht="15.75" customHeight="1">
      <c r="C39" s="13">
        <v>9.0</v>
      </c>
      <c r="D39" s="83">
        <v>43.0</v>
      </c>
      <c r="E39" s="13">
        <f t="shared" si="10"/>
        <v>25.8040094</v>
      </c>
      <c r="F39" s="13">
        <f t="shared" si="8"/>
        <v>17.1959906</v>
      </c>
      <c r="H39" s="13">
        <f t="shared" si="11"/>
        <v>32.557783</v>
      </c>
      <c r="I39" s="13">
        <f t="shared" si="9"/>
        <v>10.442217</v>
      </c>
    </row>
    <row r="40" ht="15.75" customHeight="1">
      <c r="C40" s="13">
        <v>10.0</v>
      </c>
      <c r="D40" s="83">
        <v>47.0</v>
      </c>
      <c r="E40" s="13">
        <f t="shared" si="10"/>
        <v>27.52360846</v>
      </c>
      <c r="F40" s="13">
        <f t="shared" si="8"/>
        <v>19.47639154</v>
      </c>
      <c r="H40" s="13">
        <f t="shared" si="11"/>
        <v>34.4020047</v>
      </c>
      <c r="I40" s="13">
        <f t="shared" si="9"/>
        <v>12.5979953</v>
      </c>
    </row>
    <row r="41" ht="15.75" customHeight="1">
      <c r="C41" s="13">
        <v>11.0</v>
      </c>
      <c r="D41" s="83">
        <v>53.0</v>
      </c>
      <c r="E41" s="13">
        <f t="shared" si="10"/>
        <v>29.47124761</v>
      </c>
      <c r="F41" s="13">
        <f t="shared" si="8"/>
        <v>23.52875239</v>
      </c>
      <c r="H41" s="13">
        <f t="shared" si="11"/>
        <v>37.26180423</v>
      </c>
      <c r="I41" s="13">
        <f t="shared" si="9"/>
        <v>15.73819577</v>
      </c>
    </row>
    <row r="42" ht="15.75" customHeight="1">
      <c r="C42" s="13">
        <v>12.0</v>
      </c>
      <c r="D42" s="83">
        <v>55.0</v>
      </c>
      <c r="E42" s="13">
        <f t="shared" si="10"/>
        <v>31.82412285</v>
      </c>
      <c r="F42" s="13">
        <f t="shared" si="8"/>
        <v>23.17587715</v>
      </c>
      <c r="H42" s="13">
        <f t="shared" si="11"/>
        <v>41.23562381</v>
      </c>
      <c r="I42" s="13">
        <f t="shared" si="9"/>
        <v>13.76437619</v>
      </c>
    </row>
    <row r="43" ht="15.75" customHeight="1">
      <c r="C43" s="13">
        <v>13.0</v>
      </c>
      <c r="D43" s="83">
        <v>58.0</v>
      </c>
      <c r="E43" s="13">
        <f t="shared" si="10"/>
        <v>34.14171057</v>
      </c>
      <c r="F43" s="13">
        <f t="shared" si="8"/>
        <v>23.85828943</v>
      </c>
      <c r="H43" s="13">
        <f t="shared" si="11"/>
        <v>43.41206143</v>
      </c>
      <c r="I43" s="13">
        <f t="shared" si="9"/>
        <v>14.58793857</v>
      </c>
    </row>
    <row r="44" ht="15.75" customHeight="1">
      <c r="C44" s="13">
        <v>14.0</v>
      </c>
      <c r="D44" s="83">
        <v>60.0</v>
      </c>
      <c r="E44" s="13">
        <f t="shared" si="10"/>
        <v>36.52753951</v>
      </c>
      <c r="F44" s="13">
        <f t="shared" si="8"/>
        <v>23.47246049</v>
      </c>
      <c r="H44" s="13">
        <f t="shared" si="11"/>
        <v>46.07085528</v>
      </c>
      <c r="I44" s="13">
        <f t="shared" si="9"/>
        <v>13.92914472</v>
      </c>
    </row>
    <row r="45" ht="15.75" customHeight="1">
      <c r="C45" s="13">
        <v>15.0</v>
      </c>
      <c r="D45" s="83">
        <v>64.0</v>
      </c>
      <c r="E45" s="13">
        <f t="shared" si="10"/>
        <v>38.87478556</v>
      </c>
      <c r="F45" s="13">
        <f t="shared" si="8"/>
        <v>25.12521444</v>
      </c>
      <c r="H45" s="13">
        <f t="shared" si="11"/>
        <v>48.26376976</v>
      </c>
      <c r="I45" s="13">
        <f t="shared" si="9"/>
        <v>15.73623024</v>
      </c>
      <c r="M45" s="84"/>
      <c r="N45" s="35"/>
      <c r="O45" s="35"/>
    </row>
    <row r="46" ht="15.75" customHeight="1">
      <c r="C46" s="13">
        <v>16.0</v>
      </c>
      <c r="D46" s="83">
        <v>66.0</v>
      </c>
      <c r="E46" s="13">
        <f t="shared" si="10"/>
        <v>41.387307</v>
      </c>
      <c r="F46" s="13">
        <f t="shared" si="8"/>
        <v>24.612693</v>
      </c>
      <c r="H46" s="13">
        <f t="shared" si="11"/>
        <v>51.43739278</v>
      </c>
      <c r="I46" s="13">
        <f t="shared" si="9"/>
        <v>14.56260722</v>
      </c>
      <c r="M46" s="84"/>
      <c r="N46" s="35"/>
      <c r="O46" s="35"/>
    </row>
    <row r="47" ht="15.75" customHeight="1">
      <c r="C47" s="13">
        <v>17.0</v>
      </c>
      <c r="D47" s="83">
        <v>69.0</v>
      </c>
      <c r="E47" s="13">
        <f t="shared" si="10"/>
        <v>43.8485763</v>
      </c>
      <c r="F47" s="13">
        <f t="shared" si="8"/>
        <v>25.1514237</v>
      </c>
      <c r="H47" s="13">
        <f t="shared" si="11"/>
        <v>53.6936535</v>
      </c>
      <c r="I47" s="13">
        <f t="shared" si="9"/>
        <v>15.3063465</v>
      </c>
      <c r="M47" s="19"/>
      <c r="N47" s="19"/>
      <c r="O47" s="19"/>
    </row>
    <row r="48" ht="15.75" customHeight="1">
      <c r="C48" s="13">
        <v>18.0</v>
      </c>
      <c r="D48" s="83">
        <v>72.0</v>
      </c>
      <c r="E48" s="13">
        <f t="shared" si="10"/>
        <v>46.36371867</v>
      </c>
      <c r="F48" s="13">
        <f t="shared" si="8"/>
        <v>25.63628133</v>
      </c>
      <c r="H48" s="13">
        <f t="shared" si="11"/>
        <v>56.42428815</v>
      </c>
      <c r="I48" s="13">
        <f t="shared" si="9"/>
        <v>15.57571185</v>
      </c>
      <c r="M48" s="84" t="s">
        <v>70</v>
      </c>
      <c r="N48" s="35" t="s">
        <v>71</v>
      </c>
      <c r="O48" s="35">
        <v>15.684</v>
      </c>
    </row>
    <row r="49" ht="15.75" customHeight="1">
      <c r="C49" s="13">
        <v>19.0</v>
      </c>
      <c r="D49" s="83">
        <v>75.0</v>
      </c>
      <c r="E49" s="13">
        <f t="shared" si="10"/>
        <v>48.92734681</v>
      </c>
      <c r="F49" s="13">
        <f t="shared" si="8"/>
        <v>26.07265319</v>
      </c>
      <c r="H49" s="13">
        <f t="shared" si="11"/>
        <v>59.18185934</v>
      </c>
      <c r="I49" s="13">
        <f t="shared" si="9"/>
        <v>15.81814066</v>
      </c>
      <c r="M49" s="84" t="s">
        <v>72</v>
      </c>
      <c r="N49" s="35" t="s">
        <v>73</v>
      </c>
      <c r="O49" s="35">
        <v>3.1729</v>
      </c>
    </row>
    <row r="50" ht="15.75" customHeight="1">
      <c r="C50" s="13">
        <v>20.0</v>
      </c>
      <c r="D50" s="83">
        <v>79.0</v>
      </c>
      <c r="E50" s="13">
        <f t="shared" si="10"/>
        <v>51.53461213</v>
      </c>
      <c r="F50" s="13">
        <f t="shared" si="8"/>
        <v>27.46538787</v>
      </c>
      <c r="H50" s="13">
        <f t="shared" si="11"/>
        <v>61.9636734</v>
      </c>
      <c r="I50" s="13">
        <f t="shared" si="9"/>
        <v>17.0363266</v>
      </c>
      <c r="M50" s="19"/>
      <c r="N50" s="35" t="s">
        <v>74</v>
      </c>
      <c r="O50" s="19">
        <f> 0.2</f>
        <v>0.2</v>
      </c>
    </row>
    <row r="51" ht="15.75" customHeight="1">
      <c r="C51" s="23">
        <v>21.0</v>
      </c>
      <c r="E51" s="13">
        <f t="shared" si="10"/>
        <v>54.28115091</v>
      </c>
      <c r="H51" s="13">
        <f t="shared" si="11"/>
        <v>65.26730606</v>
      </c>
      <c r="M51" s="19"/>
      <c r="N51" s="35" t="s">
        <v>75</v>
      </c>
      <c r="O51" s="19">
        <f> 0.4</f>
        <v>0.4</v>
      </c>
    </row>
    <row r="52" ht="15.75" customHeight="1">
      <c r="L52" s="19"/>
      <c r="M52" s="19"/>
      <c r="N52" s="19"/>
      <c r="O52" s="19"/>
      <c r="P52" s="19"/>
      <c r="Q52" s="19"/>
    </row>
    <row r="53" ht="15.75" customHeight="1">
      <c r="L53" s="85" t="s">
        <v>29</v>
      </c>
      <c r="M53" s="85" t="s">
        <v>30</v>
      </c>
      <c r="N53" s="85" t="s">
        <v>76</v>
      </c>
      <c r="O53" s="85" t="s">
        <v>77</v>
      </c>
      <c r="P53" s="85" t="s">
        <v>78</v>
      </c>
      <c r="Q53" s="85" t="s">
        <v>79</v>
      </c>
    </row>
    <row r="54" ht="15.75" customHeight="1">
      <c r="L54" s="29"/>
      <c r="M54" s="29"/>
      <c r="N54" s="29"/>
      <c r="O54" s="29"/>
      <c r="P54" s="29"/>
      <c r="Q54" s="29"/>
    </row>
    <row r="55" ht="15.75" customHeight="1">
      <c r="L55" s="86">
        <v>1.0</v>
      </c>
      <c r="M55" s="19">
        <v>18.0</v>
      </c>
      <c r="N55" s="87">
        <f>O48</f>
        <v>15.684</v>
      </c>
      <c r="O55" s="87">
        <f>O49</f>
        <v>3.1729</v>
      </c>
      <c r="P55" s="88"/>
      <c r="Q55" s="89"/>
    </row>
    <row r="56" ht="15.75" customHeight="1">
      <c r="L56" s="86">
        <v>2.0</v>
      </c>
      <c r="M56" s="19">
        <v>22.0</v>
      </c>
      <c r="N56" s="89">
        <f t="shared" ref="N56:N75" si="12">($O$50*M55) + ((1-$O$50)*(N55+O55))</f>
        <v>18.68552</v>
      </c>
      <c r="O56" s="89">
        <f t="shared" ref="O56:O75" si="13">($O$51*(N56-N55)) + ((1-$O$51)*O55)</f>
        <v>3.104348</v>
      </c>
      <c r="P56" s="88"/>
      <c r="Q56" s="89"/>
    </row>
    <row r="57" ht="15.75" customHeight="1">
      <c r="L57" s="86">
        <v>3.0</v>
      </c>
      <c r="M57" s="19">
        <v>25.0</v>
      </c>
      <c r="N57" s="89">
        <f t="shared" si="12"/>
        <v>21.8318944</v>
      </c>
      <c r="O57" s="89">
        <f t="shared" si="13"/>
        <v>3.12115856</v>
      </c>
      <c r="P57" s="88"/>
      <c r="Q57" s="89"/>
    </row>
    <row r="58" ht="15.75" customHeight="1">
      <c r="L58" s="86">
        <v>4.0</v>
      </c>
      <c r="M58" s="19">
        <v>27.0</v>
      </c>
      <c r="N58" s="89">
        <f t="shared" si="12"/>
        <v>24.96244237</v>
      </c>
      <c r="O58" s="89">
        <f t="shared" si="13"/>
        <v>3.124914323</v>
      </c>
      <c r="P58" s="88"/>
      <c r="Q58" s="89"/>
    </row>
    <row r="59" ht="15.75" customHeight="1">
      <c r="L59" s="86">
        <v>5.0</v>
      </c>
      <c r="M59" s="19">
        <v>32.0</v>
      </c>
      <c r="N59" s="89">
        <f t="shared" si="12"/>
        <v>27.86988535</v>
      </c>
      <c r="O59" s="89">
        <f t="shared" si="13"/>
        <v>3.037925788</v>
      </c>
      <c r="P59" s="88"/>
      <c r="Q59" s="89"/>
    </row>
    <row r="60" ht="15.75" customHeight="1">
      <c r="L60" s="86">
        <v>6.0</v>
      </c>
      <c r="M60" s="19">
        <v>35.0</v>
      </c>
      <c r="N60" s="89">
        <f t="shared" si="12"/>
        <v>31.12624891</v>
      </c>
      <c r="O60" s="89">
        <f t="shared" si="13"/>
        <v>3.125300897</v>
      </c>
      <c r="P60" s="88"/>
      <c r="Q60" s="89"/>
    </row>
    <row r="61" ht="15.75" customHeight="1">
      <c r="L61" s="86">
        <v>7.0</v>
      </c>
      <c r="M61" s="19">
        <v>39.0</v>
      </c>
      <c r="N61" s="89">
        <f t="shared" si="12"/>
        <v>34.40123985</v>
      </c>
      <c r="O61" s="89">
        <f t="shared" si="13"/>
        <v>3.185176912</v>
      </c>
      <c r="P61" s="88"/>
      <c r="Q61" s="89"/>
    </row>
    <row r="62" ht="15.75" customHeight="1">
      <c r="L62" s="86">
        <v>8.0</v>
      </c>
      <c r="M62" s="19">
        <v>41.0</v>
      </c>
      <c r="N62" s="89">
        <f t="shared" si="12"/>
        <v>37.86913341</v>
      </c>
      <c r="O62" s="89">
        <f t="shared" si="13"/>
        <v>3.298263571</v>
      </c>
      <c r="P62" s="88"/>
      <c r="Q62" s="89"/>
    </row>
    <row r="63" ht="15.75" customHeight="1">
      <c r="L63" s="86">
        <v>9.0</v>
      </c>
      <c r="M63" s="19">
        <v>43.0</v>
      </c>
      <c r="N63" s="89">
        <f t="shared" si="12"/>
        <v>41.13391758</v>
      </c>
      <c r="O63" s="89">
        <f t="shared" si="13"/>
        <v>3.284871813</v>
      </c>
      <c r="P63" s="88"/>
      <c r="Q63" s="89"/>
    </row>
    <row r="64" ht="15.75" customHeight="1">
      <c r="L64" s="86">
        <v>10.0</v>
      </c>
      <c r="M64" s="19">
        <v>47.0</v>
      </c>
      <c r="N64" s="89">
        <f t="shared" si="12"/>
        <v>44.13503152</v>
      </c>
      <c r="O64" s="89">
        <f t="shared" si="13"/>
        <v>3.171368661</v>
      </c>
      <c r="P64" s="88">
        <f t="shared" ref="P64:P75" si="14">SUM(N64:O64)</f>
        <v>47.30640018</v>
      </c>
      <c r="Q64" s="89"/>
    </row>
    <row r="65" ht="15.75" customHeight="1">
      <c r="L65" s="86">
        <v>11.0</v>
      </c>
      <c r="M65" s="19">
        <v>53.0</v>
      </c>
      <c r="N65" s="89">
        <f t="shared" si="12"/>
        <v>47.24512014</v>
      </c>
      <c r="O65" s="89">
        <f t="shared" si="13"/>
        <v>3.146856647</v>
      </c>
      <c r="P65" s="88">
        <f t="shared" si="14"/>
        <v>50.39197679</v>
      </c>
      <c r="Q65" s="89">
        <f t="shared" ref="Q65:Q74" si="15">ABS(P65-M65)</f>
        <v>2.608023211</v>
      </c>
    </row>
    <row r="66" ht="15.75" customHeight="1">
      <c r="L66" s="86">
        <v>12.0</v>
      </c>
      <c r="M66" s="19">
        <v>55.0</v>
      </c>
      <c r="N66" s="89">
        <f t="shared" si="12"/>
        <v>50.91358143</v>
      </c>
      <c r="O66" s="89">
        <f t="shared" si="13"/>
        <v>3.355498504</v>
      </c>
      <c r="P66" s="88">
        <f t="shared" si="14"/>
        <v>54.26907994</v>
      </c>
      <c r="Q66" s="89">
        <f t="shared" si="15"/>
        <v>0.7309200648</v>
      </c>
    </row>
    <row r="67" ht="15.75" customHeight="1">
      <c r="L67" s="86">
        <v>13.0</v>
      </c>
      <c r="M67" s="19">
        <v>58.0</v>
      </c>
      <c r="N67" s="89">
        <f t="shared" si="12"/>
        <v>54.41526395</v>
      </c>
      <c r="O67" s="89">
        <f t="shared" si="13"/>
        <v>3.413972109</v>
      </c>
      <c r="P67" s="88">
        <f t="shared" si="14"/>
        <v>57.82923606</v>
      </c>
      <c r="Q67" s="89">
        <f t="shared" si="15"/>
        <v>0.1707639428</v>
      </c>
    </row>
    <row r="68" ht="15.75" customHeight="1">
      <c r="L68" s="86">
        <v>14.0</v>
      </c>
      <c r="M68" s="19">
        <v>60.0</v>
      </c>
      <c r="N68" s="89">
        <f t="shared" si="12"/>
        <v>57.86338885</v>
      </c>
      <c r="O68" s="89">
        <f t="shared" si="13"/>
        <v>3.427633224</v>
      </c>
      <c r="P68" s="88">
        <f t="shared" si="14"/>
        <v>61.29102207</v>
      </c>
      <c r="Q68" s="89">
        <f t="shared" si="15"/>
        <v>1.29102207</v>
      </c>
    </row>
    <row r="69" ht="15.75" customHeight="1">
      <c r="L69" s="86">
        <v>15.0</v>
      </c>
      <c r="M69" s="19">
        <v>64.0</v>
      </c>
      <c r="N69" s="89">
        <f t="shared" si="12"/>
        <v>61.03281766</v>
      </c>
      <c r="O69" s="89">
        <f t="shared" si="13"/>
        <v>3.324351459</v>
      </c>
      <c r="P69" s="88">
        <f t="shared" si="14"/>
        <v>64.35716911</v>
      </c>
      <c r="Q69" s="89">
        <f t="shared" si="15"/>
        <v>0.357169115</v>
      </c>
    </row>
    <row r="70" ht="15.75" customHeight="1">
      <c r="L70" s="86">
        <v>16.0</v>
      </c>
      <c r="M70" s="19">
        <v>66.0</v>
      </c>
      <c r="N70" s="89">
        <f t="shared" si="12"/>
        <v>64.28573529</v>
      </c>
      <c r="O70" s="89">
        <f t="shared" si="13"/>
        <v>3.29577793</v>
      </c>
      <c r="P70" s="88">
        <f t="shared" si="14"/>
        <v>67.58151322</v>
      </c>
      <c r="Q70" s="89">
        <f t="shared" si="15"/>
        <v>1.581513222</v>
      </c>
    </row>
    <row r="71" ht="15.75" customHeight="1">
      <c r="L71" s="86">
        <v>17.0</v>
      </c>
      <c r="M71" s="19">
        <v>69.0</v>
      </c>
      <c r="N71" s="89">
        <f t="shared" si="12"/>
        <v>67.26521058</v>
      </c>
      <c r="O71" s="89">
        <f t="shared" si="13"/>
        <v>3.169256872</v>
      </c>
      <c r="P71" s="88">
        <f t="shared" si="14"/>
        <v>70.43446745</v>
      </c>
      <c r="Q71" s="89">
        <f t="shared" si="15"/>
        <v>1.434467449</v>
      </c>
    </row>
    <row r="72" ht="15.75" customHeight="1">
      <c r="L72" s="86">
        <v>18.0</v>
      </c>
      <c r="M72" s="19">
        <v>72.0</v>
      </c>
      <c r="N72" s="89">
        <f t="shared" si="12"/>
        <v>70.14757396</v>
      </c>
      <c r="O72" s="89">
        <f t="shared" si="13"/>
        <v>3.054499476</v>
      </c>
      <c r="P72" s="88">
        <f t="shared" si="14"/>
        <v>73.20207344</v>
      </c>
      <c r="Q72" s="89">
        <f t="shared" si="15"/>
        <v>1.202073435</v>
      </c>
    </row>
    <row r="73" ht="15.75" customHeight="1">
      <c r="L73" s="86">
        <v>19.0</v>
      </c>
      <c r="M73" s="19">
        <v>75.0</v>
      </c>
      <c r="N73" s="89">
        <f t="shared" si="12"/>
        <v>72.96165875</v>
      </c>
      <c r="O73" s="89">
        <f t="shared" si="13"/>
        <v>2.958333601</v>
      </c>
      <c r="P73" s="88">
        <f t="shared" si="14"/>
        <v>75.91999235</v>
      </c>
      <c r="Q73" s="89">
        <f t="shared" si="15"/>
        <v>0.9199923494</v>
      </c>
    </row>
    <row r="74" ht="15.75" customHeight="1">
      <c r="L74" s="86">
        <v>20.0</v>
      </c>
      <c r="M74" s="19">
        <v>79.0</v>
      </c>
      <c r="N74" s="89">
        <f t="shared" si="12"/>
        <v>75.73599388</v>
      </c>
      <c r="O74" s="89">
        <f t="shared" si="13"/>
        <v>2.884734213</v>
      </c>
      <c r="P74" s="88">
        <f t="shared" si="14"/>
        <v>78.62072809</v>
      </c>
      <c r="Q74" s="89">
        <f t="shared" si="15"/>
        <v>0.3792719073</v>
      </c>
    </row>
    <row r="75" ht="15.75" customHeight="1">
      <c r="L75" s="90">
        <v>21.0</v>
      </c>
      <c r="M75" s="91"/>
      <c r="N75" s="89">
        <f t="shared" si="12"/>
        <v>78.69658247</v>
      </c>
      <c r="O75" s="89">
        <f t="shared" si="13"/>
        <v>2.915075966</v>
      </c>
      <c r="P75" s="92">
        <f t="shared" si="14"/>
        <v>81.61165844</v>
      </c>
      <c r="Q75" s="93"/>
    </row>
    <row r="76" ht="15.75" customHeight="1">
      <c r="L76" s="94">
        <v>22.0</v>
      </c>
      <c r="M76" s="86"/>
      <c r="N76" s="89"/>
      <c r="O76" s="89"/>
      <c r="P76" s="95">
        <f>N75+(2*O75)</f>
        <v>84.52673441</v>
      </c>
      <c r="Q76" s="96"/>
    </row>
    <row r="77" ht="15.75" customHeight="1">
      <c r="L77" s="94">
        <v>23.0</v>
      </c>
      <c r="M77" s="86"/>
      <c r="N77" s="89"/>
      <c r="O77" s="89"/>
      <c r="P77" s="95">
        <f>N75 + (3*O75)</f>
        <v>87.44181037</v>
      </c>
      <c r="Q77" s="96"/>
    </row>
    <row r="78" ht="15.75" customHeight="1">
      <c r="L78" s="94">
        <v>24.0</v>
      </c>
      <c r="M78" s="86"/>
      <c r="N78" s="89"/>
      <c r="O78" s="89"/>
      <c r="P78" s="95">
        <f>N75 + (4*O75)</f>
        <v>90.35688634</v>
      </c>
      <c r="Q78" s="96"/>
    </row>
    <row r="79" ht="15.75" customHeight="1">
      <c r="L79" s="94">
        <v>25.0</v>
      </c>
      <c r="M79" s="86"/>
      <c r="N79" s="89"/>
      <c r="O79" s="89"/>
      <c r="P79" s="95">
        <f>N75 + (5*O75)</f>
        <v>93.2719623</v>
      </c>
      <c r="Q79" s="96"/>
    </row>
    <row r="80" ht="15.75" customHeight="1">
      <c r="L80" s="97"/>
      <c r="M80" s="98"/>
      <c r="N80" s="99"/>
      <c r="O80" s="100"/>
      <c r="P80" s="99"/>
      <c r="Q80" s="100"/>
    </row>
    <row r="81" ht="15.75" customHeight="1">
      <c r="L81" s="19"/>
      <c r="M81" s="19"/>
      <c r="N81" s="19"/>
      <c r="O81" s="19"/>
      <c r="P81" s="19"/>
      <c r="Q81" s="19"/>
    </row>
    <row r="82" ht="15.75" customHeight="1">
      <c r="L82" s="19"/>
      <c r="M82" s="19"/>
      <c r="N82" s="19"/>
      <c r="O82" s="19"/>
      <c r="P82" s="101" t="s">
        <v>80</v>
      </c>
      <c r="Q82" s="102">
        <f>AVERAGE(Q65:Q74)</f>
        <v>1.067521677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L53:L54"/>
    <mergeCell ref="M53:M54"/>
    <mergeCell ref="N53:N54"/>
    <mergeCell ref="O53:O54"/>
    <mergeCell ref="P53:P54"/>
    <mergeCell ref="Q53:Q54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3.0"/>
  </cols>
  <sheetData>
    <row r="3">
      <c r="A3" s="3"/>
      <c r="B3" s="3"/>
      <c r="C3" s="3"/>
      <c r="D3" s="3"/>
      <c r="E3" s="3"/>
      <c r="F3" s="3"/>
      <c r="G3" s="103" t="s">
        <v>81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6">
      <c r="B6" s="51" t="s">
        <v>67</v>
      </c>
      <c r="C6" s="79">
        <v>0.5</v>
      </c>
    </row>
    <row r="10">
      <c r="B10" s="104" t="s">
        <v>45</v>
      </c>
      <c r="C10" s="104" t="s">
        <v>69</v>
      </c>
      <c r="D10" s="48" t="s">
        <v>37</v>
      </c>
      <c r="E10" s="48" t="s">
        <v>38</v>
      </c>
      <c r="F10" s="48" t="s">
        <v>39</v>
      </c>
      <c r="G10" s="48" t="s">
        <v>40</v>
      </c>
      <c r="H10" s="48" t="s">
        <v>31</v>
      </c>
      <c r="I10" s="48" t="s">
        <v>32</v>
      </c>
    </row>
    <row r="11">
      <c r="B11" s="105">
        <v>1.0</v>
      </c>
      <c r="C11" s="83">
        <v>18.0</v>
      </c>
      <c r="D11" s="59">
        <v>18.0</v>
      </c>
      <c r="E11" s="59">
        <v>18.0</v>
      </c>
      <c r="F11" s="4">
        <f t="shared" ref="F11:F30" si="2">2*D11-E11</f>
        <v>18</v>
      </c>
      <c r="G11" s="4">
        <f>((C12-C11)+(C14-C13))/2</f>
        <v>3</v>
      </c>
      <c r="H11" s="4"/>
      <c r="I11" s="4"/>
    </row>
    <row r="12">
      <c r="B12" s="105">
        <v>2.0</v>
      </c>
      <c r="C12" s="83">
        <v>22.0</v>
      </c>
      <c r="D12" s="4">
        <f t="shared" ref="D12:E12" si="1">($C$6*C12)+(1-$C$6)*D11</f>
        <v>20</v>
      </c>
      <c r="E12" s="4">
        <f t="shared" si="1"/>
        <v>19</v>
      </c>
      <c r="F12" s="4">
        <f t="shared" si="2"/>
        <v>21</v>
      </c>
      <c r="G12" s="4">
        <f t="shared" ref="G12:G30" si="4">($C$6/(1-$C$6))*(D12-E12)</f>
        <v>1</v>
      </c>
      <c r="H12" s="4">
        <f t="shared" ref="H12:H30" si="5">F11+G11</f>
        <v>21</v>
      </c>
      <c r="I12" s="4">
        <f t="shared" ref="I12:I30" si="6">abs(C12-H12)</f>
        <v>1</v>
      </c>
    </row>
    <row r="13">
      <c r="B13" s="105">
        <v>3.0</v>
      </c>
      <c r="C13" s="83">
        <v>25.0</v>
      </c>
      <c r="D13" s="4">
        <f t="shared" ref="D13:E13" si="3">($C$6*C13)+(1-$C$6)*D12</f>
        <v>22.5</v>
      </c>
      <c r="E13" s="4">
        <f t="shared" si="3"/>
        <v>20.75</v>
      </c>
      <c r="F13" s="4">
        <f t="shared" si="2"/>
        <v>24.25</v>
      </c>
      <c r="G13" s="4">
        <f t="shared" si="4"/>
        <v>1.75</v>
      </c>
      <c r="H13" s="4">
        <f t="shared" si="5"/>
        <v>22</v>
      </c>
      <c r="I13" s="4">
        <f t="shared" si="6"/>
        <v>3</v>
      </c>
    </row>
    <row r="14">
      <c r="B14" s="105">
        <v>4.0</v>
      </c>
      <c r="C14" s="83">
        <v>27.0</v>
      </c>
      <c r="D14" s="4">
        <f t="shared" ref="D14:E14" si="7">($C$6*C14)+(1-$C$6)*D13</f>
        <v>24.75</v>
      </c>
      <c r="E14" s="4">
        <f t="shared" si="7"/>
        <v>22.75</v>
      </c>
      <c r="F14" s="4">
        <f t="shared" si="2"/>
        <v>26.75</v>
      </c>
      <c r="G14" s="4">
        <f t="shared" si="4"/>
        <v>2</v>
      </c>
      <c r="H14" s="4">
        <f t="shared" si="5"/>
        <v>26</v>
      </c>
      <c r="I14" s="4">
        <f t="shared" si="6"/>
        <v>1</v>
      </c>
    </row>
    <row r="15">
      <c r="B15" s="105">
        <v>5.0</v>
      </c>
      <c r="C15" s="83">
        <v>32.0</v>
      </c>
      <c r="D15" s="4">
        <f t="shared" ref="D15:E15" si="8">($C$6*C15)+(1-$C$6)*D14</f>
        <v>28.375</v>
      </c>
      <c r="E15" s="4">
        <f t="shared" si="8"/>
        <v>25.5625</v>
      </c>
      <c r="F15" s="4">
        <f t="shared" si="2"/>
        <v>31.1875</v>
      </c>
      <c r="G15" s="4">
        <f t="shared" si="4"/>
        <v>2.8125</v>
      </c>
      <c r="H15" s="4">
        <f t="shared" si="5"/>
        <v>28.75</v>
      </c>
      <c r="I15" s="4">
        <f t="shared" si="6"/>
        <v>3.25</v>
      </c>
    </row>
    <row r="16">
      <c r="B16" s="105">
        <v>6.0</v>
      </c>
      <c r="C16" s="83">
        <v>35.0</v>
      </c>
      <c r="D16" s="4">
        <f t="shared" ref="D16:E16" si="9">($C$6*C16)+(1-$C$6)*D15</f>
        <v>31.6875</v>
      </c>
      <c r="E16" s="4">
        <f t="shared" si="9"/>
        <v>28.625</v>
      </c>
      <c r="F16" s="4">
        <f t="shared" si="2"/>
        <v>34.75</v>
      </c>
      <c r="G16" s="4">
        <f t="shared" si="4"/>
        <v>3.0625</v>
      </c>
      <c r="H16" s="4">
        <f t="shared" si="5"/>
        <v>34</v>
      </c>
      <c r="I16" s="4">
        <f t="shared" si="6"/>
        <v>1</v>
      </c>
    </row>
    <row r="17">
      <c r="B17" s="105">
        <v>7.0</v>
      </c>
      <c r="C17" s="83">
        <v>39.0</v>
      </c>
      <c r="D17" s="4">
        <f t="shared" ref="D17:E17" si="10">($C$6*C17)+(1-$C$6)*D16</f>
        <v>35.34375</v>
      </c>
      <c r="E17" s="4">
        <f t="shared" si="10"/>
        <v>31.984375</v>
      </c>
      <c r="F17" s="4">
        <f t="shared" si="2"/>
        <v>38.703125</v>
      </c>
      <c r="G17" s="4">
        <f t="shared" si="4"/>
        <v>3.359375</v>
      </c>
      <c r="H17" s="4">
        <f t="shared" si="5"/>
        <v>37.8125</v>
      </c>
      <c r="I17" s="4">
        <f t="shared" si="6"/>
        <v>1.1875</v>
      </c>
    </row>
    <row r="18">
      <c r="B18" s="105">
        <v>8.0</v>
      </c>
      <c r="C18" s="83">
        <v>41.0</v>
      </c>
      <c r="D18" s="4">
        <f t="shared" ref="D18:E18" si="11">($C$6*C18)+(1-$C$6)*D17</f>
        <v>38.171875</v>
      </c>
      <c r="E18" s="4">
        <f t="shared" si="11"/>
        <v>35.078125</v>
      </c>
      <c r="F18" s="4">
        <f t="shared" si="2"/>
        <v>41.265625</v>
      </c>
      <c r="G18" s="4">
        <f t="shared" si="4"/>
        <v>3.09375</v>
      </c>
      <c r="H18" s="4">
        <f t="shared" si="5"/>
        <v>42.0625</v>
      </c>
      <c r="I18" s="4">
        <f t="shared" si="6"/>
        <v>1.0625</v>
      </c>
    </row>
    <row r="19">
      <c r="B19" s="105">
        <v>9.0</v>
      </c>
      <c r="C19" s="83">
        <v>43.0</v>
      </c>
      <c r="D19" s="4">
        <f t="shared" ref="D19:E19" si="12">($C$6*C19)+(1-$C$6)*D18</f>
        <v>40.5859375</v>
      </c>
      <c r="E19" s="4">
        <f t="shared" si="12"/>
        <v>37.83203125</v>
      </c>
      <c r="F19" s="4">
        <f t="shared" si="2"/>
        <v>43.33984375</v>
      </c>
      <c r="G19" s="4">
        <f t="shared" si="4"/>
        <v>2.75390625</v>
      </c>
      <c r="H19" s="4">
        <f t="shared" si="5"/>
        <v>44.359375</v>
      </c>
      <c r="I19" s="4">
        <f t="shared" si="6"/>
        <v>1.359375</v>
      </c>
    </row>
    <row r="20">
      <c r="B20" s="105">
        <v>10.0</v>
      </c>
      <c r="C20" s="83">
        <v>47.0</v>
      </c>
      <c r="D20" s="4">
        <f t="shared" ref="D20:E20" si="13">($C$6*C20)+(1-$C$6)*D19</f>
        <v>43.79296875</v>
      </c>
      <c r="E20" s="4">
        <f t="shared" si="13"/>
        <v>40.8125</v>
      </c>
      <c r="F20" s="4">
        <f t="shared" si="2"/>
        <v>46.7734375</v>
      </c>
      <c r="G20" s="4">
        <f t="shared" si="4"/>
        <v>2.98046875</v>
      </c>
      <c r="H20" s="4">
        <f t="shared" si="5"/>
        <v>46.09375</v>
      </c>
      <c r="I20" s="4">
        <f t="shared" si="6"/>
        <v>0.90625</v>
      </c>
    </row>
    <row r="21">
      <c r="B21" s="105">
        <v>11.0</v>
      </c>
      <c r="C21" s="83">
        <v>53.0</v>
      </c>
      <c r="D21" s="4">
        <f t="shared" ref="D21:E21" si="14">($C$6*C21)+(1-$C$6)*D20</f>
        <v>48.39648438</v>
      </c>
      <c r="E21" s="4">
        <f t="shared" si="14"/>
        <v>44.60449219</v>
      </c>
      <c r="F21" s="4">
        <f t="shared" si="2"/>
        <v>52.18847656</v>
      </c>
      <c r="G21" s="4">
        <f t="shared" si="4"/>
        <v>3.791992188</v>
      </c>
      <c r="H21" s="4">
        <f t="shared" si="5"/>
        <v>49.75390625</v>
      </c>
      <c r="I21" s="4">
        <f t="shared" si="6"/>
        <v>3.24609375</v>
      </c>
    </row>
    <row r="22">
      <c r="B22" s="105">
        <v>12.0</v>
      </c>
      <c r="C22" s="83">
        <v>55.0</v>
      </c>
      <c r="D22" s="4">
        <f t="shared" ref="D22:E22" si="15">($C$6*C22)+(1-$C$6)*D21</f>
        <v>51.69824219</v>
      </c>
      <c r="E22" s="4">
        <f t="shared" si="15"/>
        <v>48.15136719</v>
      </c>
      <c r="F22" s="4">
        <f t="shared" si="2"/>
        <v>55.24511719</v>
      </c>
      <c r="G22" s="4">
        <f t="shared" si="4"/>
        <v>3.546875</v>
      </c>
      <c r="H22" s="4">
        <f t="shared" si="5"/>
        <v>55.98046875</v>
      </c>
      <c r="I22" s="4">
        <f t="shared" si="6"/>
        <v>0.98046875</v>
      </c>
    </row>
    <row r="23">
      <c r="B23" s="105">
        <v>13.0</v>
      </c>
      <c r="C23" s="83">
        <v>58.0</v>
      </c>
      <c r="D23" s="4">
        <f t="shared" ref="D23:E23" si="16">($C$6*C23)+(1-$C$6)*D22</f>
        <v>54.84912109</v>
      </c>
      <c r="E23" s="4">
        <f t="shared" si="16"/>
        <v>51.50024414</v>
      </c>
      <c r="F23" s="4">
        <f t="shared" si="2"/>
        <v>58.19799805</v>
      </c>
      <c r="G23" s="4">
        <f t="shared" si="4"/>
        <v>3.348876953</v>
      </c>
      <c r="H23" s="4">
        <f t="shared" si="5"/>
        <v>58.79199219</v>
      </c>
      <c r="I23" s="4">
        <f t="shared" si="6"/>
        <v>0.7919921875</v>
      </c>
    </row>
    <row r="24">
      <c r="B24" s="105">
        <v>14.0</v>
      </c>
      <c r="C24" s="83">
        <v>60.0</v>
      </c>
      <c r="D24" s="4">
        <f t="shared" ref="D24:E24" si="17">($C$6*C24)+(1-$C$6)*D23</f>
        <v>57.42456055</v>
      </c>
      <c r="E24" s="4">
        <f t="shared" si="17"/>
        <v>54.46240234</v>
      </c>
      <c r="F24" s="4">
        <f t="shared" si="2"/>
        <v>60.38671875</v>
      </c>
      <c r="G24" s="4">
        <f t="shared" si="4"/>
        <v>2.962158203</v>
      </c>
      <c r="H24" s="4">
        <f t="shared" si="5"/>
        <v>61.546875</v>
      </c>
      <c r="I24" s="4">
        <f t="shared" si="6"/>
        <v>1.546875</v>
      </c>
    </row>
    <row r="25">
      <c r="B25" s="105">
        <v>15.0</v>
      </c>
      <c r="C25" s="83">
        <v>64.0</v>
      </c>
      <c r="D25" s="4">
        <f t="shared" ref="D25:E25" si="18">($C$6*C25)+(1-$C$6)*D24</f>
        <v>60.71228027</v>
      </c>
      <c r="E25" s="4">
        <f t="shared" si="18"/>
        <v>57.58734131</v>
      </c>
      <c r="F25" s="4">
        <f t="shared" si="2"/>
        <v>63.83721924</v>
      </c>
      <c r="G25" s="4">
        <f t="shared" si="4"/>
        <v>3.124938965</v>
      </c>
      <c r="H25" s="4">
        <f t="shared" si="5"/>
        <v>63.34887695</v>
      </c>
      <c r="I25" s="4">
        <f t="shared" si="6"/>
        <v>0.6511230469</v>
      </c>
    </row>
    <row r="26">
      <c r="B26" s="105">
        <v>16.0</v>
      </c>
      <c r="C26" s="83">
        <v>66.0</v>
      </c>
      <c r="D26" s="4">
        <f t="shared" ref="D26:E26" si="19">($C$6*C26)+(1-$C$6)*D25</f>
        <v>63.35614014</v>
      </c>
      <c r="E26" s="4">
        <f t="shared" si="19"/>
        <v>60.47174072</v>
      </c>
      <c r="F26" s="4">
        <f t="shared" si="2"/>
        <v>66.24053955</v>
      </c>
      <c r="G26" s="4">
        <f t="shared" si="4"/>
        <v>2.884399414</v>
      </c>
      <c r="H26" s="4">
        <f t="shared" si="5"/>
        <v>66.9621582</v>
      </c>
      <c r="I26" s="4">
        <f t="shared" si="6"/>
        <v>0.9621582031</v>
      </c>
    </row>
    <row r="27">
      <c r="B27" s="105">
        <v>17.0</v>
      </c>
      <c r="C27" s="83">
        <v>69.0</v>
      </c>
      <c r="D27" s="4">
        <f t="shared" ref="D27:E27" si="20">($C$6*C27)+(1-$C$6)*D26</f>
        <v>66.17807007</v>
      </c>
      <c r="E27" s="4">
        <f t="shared" si="20"/>
        <v>63.3249054</v>
      </c>
      <c r="F27" s="4">
        <f t="shared" si="2"/>
        <v>69.03123474</v>
      </c>
      <c r="G27" s="4">
        <f t="shared" si="4"/>
        <v>2.853164673</v>
      </c>
      <c r="H27" s="4">
        <f t="shared" si="5"/>
        <v>69.12493896</v>
      </c>
      <c r="I27" s="4">
        <f t="shared" si="6"/>
        <v>0.1249389648</v>
      </c>
    </row>
    <row r="28">
      <c r="B28" s="105">
        <v>18.0</v>
      </c>
      <c r="C28" s="83">
        <v>72.0</v>
      </c>
      <c r="D28" s="4">
        <f t="shared" ref="D28:E28" si="21">($C$6*C28)+(1-$C$6)*D27</f>
        <v>69.08903503</v>
      </c>
      <c r="E28" s="4">
        <f t="shared" si="21"/>
        <v>66.20697021</v>
      </c>
      <c r="F28" s="4">
        <f t="shared" si="2"/>
        <v>71.97109985</v>
      </c>
      <c r="G28" s="4">
        <f t="shared" si="4"/>
        <v>2.882064819</v>
      </c>
      <c r="H28" s="4">
        <f t="shared" si="5"/>
        <v>71.88439941</v>
      </c>
      <c r="I28" s="4">
        <f t="shared" si="6"/>
        <v>0.1156005859</v>
      </c>
    </row>
    <row r="29">
      <c r="B29" s="105">
        <v>19.0</v>
      </c>
      <c r="C29" s="83">
        <v>75.0</v>
      </c>
      <c r="D29" s="4">
        <f t="shared" ref="D29:E29" si="22">($C$6*C29)+(1-$C$6)*D28</f>
        <v>72.04451752</v>
      </c>
      <c r="E29" s="4">
        <f t="shared" si="22"/>
        <v>69.12574387</v>
      </c>
      <c r="F29" s="4">
        <f t="shared" si="2"/>
        <v>74.96329117</v>
      </c>
      <c r="G29" s="4">
        <f t="shared" si="4"/>
        <v>2.918773651</v>
      </c>
      <c r="H29" s="4">
        <f t="shared" si="5"/>
        <v>74.85316467</v>
      </c>
      <c r="I29" s="4">
        <f t="shared" si="6"/>
        <v>0.1468353271</v>
      </c>
      <c r="J29" s="79" t="s">
        <v>8</v>
      </c>
    </row>
    <row r="30">
      <c r="B30" s="105">
        <v>20.0</v>
      </c>
      <c r="C30" s="83">
        <v>79.0</v>
      </c>
      <c r="D30" s="4">
        <f t="shared" ref="D30:E30" si="23">($C$6*C30)+(1-$C$6)*D29</f>
        <v>75.52225876</v>
      </c>
      <c r="E30" s="4">
        <f t="shared" si="23"/>
        <v>72.32400131</v>
      </c>
      <c r="F30" s="4">
        <f t="shared" si="2"/>
        <v>78.7205162</v>
      </c>
      <c r="G30" s="4">
        <f t="shared" si="4"/>
        <v>3.198257446</v>
      </c>
      <c r="H30" s="4">
        <f t="shared" si="5"/>
        <v>77.88206482</v>
      </c>
      <c r="I30" s="4">
        <f t="shared" si="6"/>
        <v>1.117935181</v>
      </c>
      <c r="J30" s="60">
        <f>AVERAGE(I21:I30)</f>
        <v>0.9684020996</v>
      </c>
    </row>
    <row r="31">
      <c r="B31" s="80">
        <v>21.0</v>
      </c>
      <c r="C31" s="4"/>
      <c r="D31" s="4"/>
      <c r="E31" s="4"/>
      <c r="F31" s="4"/>
      <c r="G31" s="4"/>
      <c r="H31" s="53">
        <f>F30+(G30*2)</f>
        <v>85.1170311</v>
      </c>
      <c r="I31" s="4"/>
    </row>
    <row r="32">
      <c r="B32" s="80">
        <v>22.0</v>
      </c>
      <c r="C32" s="4"/>
      <c r="D32" s="4"/>
      <c r="E32" s="4"/>
      <c r="F32" s="4"/>
      <c r="G32" s="4"/>
      <c r="H32" s="53">
        <f>F30+(G30*3)</f>
        <v>88.31528854</v>
      </c>
      <c r="I32" s="4"/>
    </row>
    <row r="33">
      <c r="B33" s="80">
        <v>23.0</v>
      </c>
      <c r="C33" s="4"/>
      <c r="D33" s="4"/>
      <c r="E33" s="4"/>
      <c r="F33" s="4"/>
      <c r="G33" s="4"/>
      <c r="H33" s="53">
        <f>F30+(G30*4)</f>
        <v>91.51354599</v>
      </c>
      <c r="I33" s="4"/>
    </row>
    <row r="34">
      <c r="B34" s="80">
        <v>24.0</v>
      </c>
      <c r="C34" s="4"/>
      <c r="D34" s="4"/>
      <c r="E34" s="4"/>
      <c r="F34" s="4"/>
      <c r="G34" s="4"/>
      <c r="H34" s="53">
        <f>F30+(G30*5)</f>
        <v>94.71180344</v>
      </c>
      <c r="I34" s="4"/>
    </row>
    <row r="35">
      <c r="B35" s="80">
        <v>25.0</v>
      </c>
      <c r="C35" s="4"/>
      <c r="D35" s="4"/>
      <c r="E35" s="4"/>
      <c r="F35" s="4"/>
      <c r="G35" s="4"/>
      <c r="H35" s="53">
        <f>F30+(G30*6)</f>
        <v>97.91006088</v>
      </c>
      <c r="I35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>
      <c r="A3" s="106" t="s">
        <v>29</v>
      </c>
      <c r="B3" s="28" t="s">
        <v>30</v>
      </c>
    </row>
    <row r="4" ht="15.75" customHeight="1">
      <c r="A4" s="29"/>
      <c r="B4" s="40"/>
    </row>
    <row r="5" ht="15.75" customHeight="1">
      <c r="A5" s="18" t="s">
        <v>33</v>
      </c>
      <c r="B5" s="29"/>
    </row>
    <row r="6" ht="15.75" customHeight="1">
      <c r="A6" s="107">
        <v>1.0</v>
      </c>
      <c r="B6" s="108">
        <v>55.0</v>
      </c>
    </row>
    <row r="7" ht="15.75" customHeight="1">
      <c r="A7" s="107">
        <v>2.0</v>
      </c>
      <c r="B7" s="108">
        <v>46.0</v>
      </c>
    </row>
    <row r="8" ht="15.75" customHeight="1">
      <c r="A8" s="107">
        <f t="shared" ref="A8:A25" si="1">A7+1</f>
        <v>3</v>
      </c>
      <c r="B8" s="108">
        <v>58.0</v>
      </c>
    </row>
    <row r="9" ht="15.75" customHeight="1">
      <c r="A9" s="107">
        <f t="shared" si="1"/>
        <v>4</v>
      </c>
      <c r="B9" s="108">
        <v>37.0</v>
      </c>
    </row>
    <row r="10" ht="15.75" customHeight="1">
      <c r="A10" s="107">
        <f t="shared" si="1"/>
        <v>5</v>
      </c>
      <c r="B10" s="108">
        <v>32.0</v>
      </c>
    </row>
    <row r="11" ht="15.75" customHeight="1">
      <c r="A11" s="107">
        <f t="shared" si="1"/>
        <v>6</v>
      </c>
      <c r="B11" s="108">
        <v>48.0</v>
      </c>
    </row>
    <row r="12" ht="15.75" customHeight="1">
      <c r="A12" s="107">
        <f t="shared" si="1"/>
        <v>7</v>
      </c>
      <c r="B12" s="108">
        <v>67.0</v>
      </c>
    </row>
    <row r="13" ht="15.75" customHeight="1">
      <c r="A13" s="107">
        <f t="shared" si="1"/>
        <v>8</v>
      </c>
      <c r="B13" s="108">
        <v>68.0</v>
      </c>
    </row>
    <row r="14" ht="15.75" customHeight="1">
      <c r="A14" s="107">
        <f t="shared" si="1"/>
        <v>9</v>
      </c>
      <c r="B14" s="108">
        <v>52.0</v>
      </c>
    </row>
    <row r="15" ht="15.75" customHeight="1">
      <c r="A15" s="107">
        <f t="shared" si="1"/>
        <v>10</v>
      </c>
      <c r="B15" s="108">
        <v>42.0</v>
      </c>
    </row>
    <row r="16" ht="15.75" customHeight="1">
      <c r="A16" s="107">
        <f t="shared" si="1"/>
        <v>11</v>
      </c>
      <c r="B16" s="108">
        <v>32.0</v>
      </c>
    </row>
    <row r="17" ht="15.75" customHeight="1">
      <c r="A17" s="107">
        <f t="shared" si="1"/>
        <v>12</v>
      </c>
      <c r="B17" s="108">
        <v>43.0</v>
      </c>
    </row>
    <row r="18" ht="15.75" customHeight="1">
      <c r="A18" s="107">
        <f t="shared" si="1"/>
        <v>13</v>
      </c>
      <c r="B18" s="108">
        <v>37.0</v>
      </c>
    </row>
    <row r="19" ht="15.75" customHeight="1">
      <c r="A19" s="107">
        <f t="shared" si="1"/>
        <v>14</v>
      </c>
      <c r="B19" s="108">
        <v>61.0</v>
      </c>
    </row>
    <row r="20" ht="15.75" customHeight="1">
      <c r="A20" s="107">
        <f t="shared" si="1"/>
        <v>15</v>
      </c>
      <c r="B20" s="108">
        <v>45.0</v>
      </c>
    </row>
    <row r="21" ht="15.75" customHeight="1">
      <c r="A21" s="107">
        <f t="shared" si="1"/>
        <v>16</v>
      </c>
      <c r="B21" s="108">
        <v>48.0</v>
      </c>
    </row>
    <row r="22" ht="15.75" customHeight="1">
      <c r="A22" s="107">
        <f t="shared" si="1"/>
        <v>17</v>
      </c>
      <c r="B22" s="108">
        <v>53.0</v>
      </c>
    </row>
    <row r="23" ht="15.75" customHeight="1">
      <c r="A23" s="107">
        <f t="shared" si="1"/>
        <v>18</v>
      </c>
      <c r="B23" s="108">
        <v>38.0</v>
      </c>
    </row>
    <row r="24" ht="15.75" customHeight="1">
      <c r="A24" s="107">
        <f t="shared" si="1"/>
        <v>19</v>
      </c>
      <c r="B24" s="108">
        <v>57.0</v>
      </c>
    </row>
    <row r="25" ht="15.75" customHeight="1">
      <c r="A25" s="107">
        <f t="shared" si="1"/>
        <v>20</v>
      </c>
      <c r="B25" s="108">
        <v>40.0</v>
      </c>
    </row>
    <row r="26" ht="15.75" customHeight="1">
      <c r="A26" s="107">
        <v>21.0</v>
      </c>
      <c r="B26" s="108"/>
    </row>
    <row r="27" ht="15.75" customHeight="1">
      <c r="A27" s="107">
        <v>22.0</v>
      </c>
      <c r="B27" s="107"/>
    </row>
    <row r="28" ht="15.75" customHeight="1">
      <c r="A28" s="107">
        <v>23.0</v>
      </c>
      <c r="B28" s="107"/>
    </row>
    <row r="29" ht="15.75" customHeight="1">
      <c r="A29" s="107">
        <v>24.0</v>
      </c>
      <c r="B29" s="107"/>
    </row>
    <row r="30" ht="15.75" customHeight="1">
      <c r="A30" s="107">
        <v>25.0</v>
      </c>
      <c r="B30" s="10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B37" s="109"/>
      <c r="C37" s="19"/>
      <c r="D37" s="19"/>
    </row>
    <row r="38" ht="15.75" customHeight="1">
      <c r="B38" s="109"/>
      <c r="C38" s="19"/>
      <c r="D38" s="19"/>
    </row>
    <row r="39" ht="15.75" customHeight="1">
      <c r="B39" s="109"/>
      <c r="C39" s="19"/>
      <c r="D39" s="19"/>
    </row>
    <row r="40" ht="15.75" customHeight="1">
      <c r="B40" s="109"/>
      <c r="C40" s="19"/>
      <c r="D40" s="19"/>
    </row>
    <row r="41" ht="15.75" customHeight="1">
      <c r="B41" s="19"/>
      <c r="C41" s="19" t="s">
        <v>74</v>
      </c>
      <c r="D41" s="19">
        <v>0.6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D53" s="19" t="s">
        <v>74</v>
      </c>
      <c r="E53" s="19">
        <v>0.6</v>
      </c>
    </row>
    <row r="54" ht="15.75" customHeight="1">
      <c r="C54" s="110" t="s">
        <v>29</v>
      </c>
      <c r="D54" s="110" t="s">
        <v>30</v>
      </c>
      <c r="E54" s="110" t="s">
        <v>31</v>
      </c>
      <c r="F54" s="110" t="s">
        <v>32</v>
      </c>
      <c r="G54" s="110"/>
    </row>
    <row r="55" ht="15.75" customHeight="1">
      <c r="C55" s="29"/>
      <c r="D55" s="29"/>
      <c r="E55" s="29"/>
      <c r="F55" s="29"/>
      <c r="G55" s="29"/>
    </row>
    <row r="56" ht="15.75" customHeight="1">
      <c r="C56" s="107">
        <v>1.0</v>
      </c>
      <c r="D56" s="111">
        <v>55.0</v>
      </c>
      <c r="E56" s="107">
        <v>55.0</v>
      </c>
      <c r="F56" s="112"/>
      <c r="G56" s="108"/>
    </row>
    <row r="57" ht="15.75" customHeight="1">
      <c r="C57" s="107">
        <v>2.0</v>
      </c>
      <c r="D57" s="111">
        <v>46.0</v>
      </c>
      <c r="E57" s="108">
        <f t="shared" ref="E57:E75" si="2">$D$41*D56+ (1-$D$41)*E56</f>
        <v>55</v>
      </c>
      <c r="F57" s="112"/>
      <c r="G57" s="108"/>
    </row>
    <row r="58" ht="15.75" customHeight="1">
      <c r="C58" s="107">
        <v>3.0</v>
      </c>
      <c r="D58" s="111">
        <v>58.0</v>
      </c>
      <c r="E58" s="108">
        <f t="shared" si="2"/>
        <v>49.6</v>
      </c>
      <c r="F58" s="112"/>
      <c r="G58" s="108"/>
    </row>
    <row r="59" ht="15.75" customHeight="1">
      <c r="C59" s="107">
        <v>4.0</v>
      </c>
      <c r="D59" s="111">
        <v>37.0</v>
      </c>
      <c r="E59" s="108">
        <f t="shared" si="2"/>
        <v>54.64</v>
      </c>
      <c r="F59" s="112"/>
      <c r="G59" s="108"/>
    </row>
    <row r="60" ht="15.75" customHeight="1">
      <c r="C60" s="107">
        <v>5.0</v>
      </c>
      <c r="D60" s="111">
        <v>32.0</v>
      </c>
      <c r="E60" s="108">
        <f t="shared" si="2"/>
        <v>44.056</v>
      </c>
      <c r="F60" s="112"/>
      <c r="G60" s="108"/>
    </row>
    <row r="61" ht="15.75" customHeight="1">
      <c r="C61" s="107">
        <v>6.0</v>
      </c>
      <c r="D61" s="111">
        <v>48.0</v>
      </c>
      <c r="E61" s="108">
        <f t="shared" si="2"/>
        <v>36.8224</v>
      </c>
      <c r="F61" s="112"/>
      <c r="G61" s="108"/>
    </row>
    <row r="62" ht="15.75" customHeight="1">
      <c r="C62" s="107">
        <v>7.0</v>
      </c>
      <c r="D62" s="111">
        <v>67.0</v>
      </c>
      <c r="E62" s="108">
        <f t="shared" si="2"/>
        <v>43.52896</v>
      </c>
      <c r="F62" s="112"/>
      <c r="G62" s="108"/>
    </row>
    <row r="63" ht="15.75" customHeight="1">
      <c r="C63" s="107">
        <v>8.0</v>
      </c>
      <c r="D63" s="111">
        <v>68.0</v>
      </c>
      <c r="E63" s="108">
        <f t="shared" si="2"/>
        <v>57.611584</v>
      </c>
      <c r="F63" s="112"/>
      <c r="G63" s="108"/>
    </row>
    <row r="64" ht="15.75" customHeight="1">
      <c r="C64" s="107">
        <v>9.0</v>
      </c>
      <c r="D64" s="111">
        <v>52.0</v>
      </c>
      <c r="E64" s="108">
        <f t="shared" si="2"/>
        <v>63.8446336</v>
      </c>
      <c r="F64" s="112"/>
      <c r="G64" s="108"/>
    </row>
    <row r="65" ht="15.75" customHeight="1">
      <c r="C65" s="107">
        <v>10.0</v>
      </c>
      <c r="D65" s="111">
        <v>42.0</v>
      </c>
      <c r="E65" s="108">
        <f t="shared" si="2"/>
        <v>56.73785344</v>
      </c>
      <c r="F65" s="108"/>
      <c r="G65" s="108"/>
    </row>
    <row r="66" ht="15.75" customHeight="1">
      <c r="C66" s="107">
        <v>11.0</v>
      </c>
      <c r="D66" s="111">
        <v>32.0</v>
      </c>
      <c r="E66" s="108">
        <f t="shared" si="2"/>
        <v>47.89514138</v>
      </c>
      <c r="F66" s="108">
        <f t="shared" ref="F66:F75" si="3">ABS(D66-E66)</f>
        <v>15.89514138</v>
      </c>
      <c r="G66" s="108"/>
    </row>
    <row r="67" ht="15.75" customHeight="1">
      <c r="C67" s="107">
        <v>12.0</v>
      </c>
      <c r="D67" s="111">
        <v>43.0</v>
      </c>
      <c r="E67" s="108">
        <f t="shared" si="2"/>
        <v>38.35805655</v>
      </c>
      <c r="F67" s="108">
        <f t="shared" si="3"/>
        <v>4.64194345</v>
      </c>
      <c r="G67" s="108"/>
    </row>
    <row r="68" ht="15.75" customHeight="1">
      <c r="C68" s="107">
        <v>13.0</v>
      </c>
      <c r="D68" s="111">
        <v>37.0</v>
      </c>
      <c r="E68" s="108">
        <f t="shared" si="2"/>
        <v>41.14322262</v>
      </c>
      <c r="F68" s="108">
        <f t="shared" si="3"/>
        <v>4.14322262</v>
      </c>
      <c r="G68" s="108"/>
    </row>
    <row r="69" ht="15.75" customHeight="1">
      <c r="C69" s="107">
        <v>14.0</v>
      </c>
      <c r="D69" s="111">
        <v>61.0</v>
      </c>
      <c r="E69" s="108">
        <f t="shared" si="2"/>
        <v>38.65728905</v>
      </c>
      <c r="F69" s="108">
        <f t="shared" si="3"/>
        <v>22.34271095</v>
      </c>
      <c r="G69" s="108"/>
    </row>
    <row r="70" ht="15.75" customHeight="1">
      <c r="C70" s="107">
        <v>15.0</v>
      </c>
      <c r="D70" s="111">
        <v>45.0</v>
      </c>
      <c r="E70" s="108">
        <f t="shared" si="2"/>
        <v>52.06291562</v>
      </c>
      <c r="F70" s="108">
        <f t="shared" si="3"/>
        <v>7.062915619</v>
      </c>
      <c r="G70" s="108"/>
    </row>
    <row r="71" ht="15.75" customHeight="1">
      <c r="C71" s="107">
        <v>16.0</v>
      </c>
      <c r="D71" s="111">
        <v>48.0</v>
      </c>
      <c r="E71" s="108">
        <f t="shared" si="2"/>
        <v>47.82516625</v>
      </c>
      <c r="F71" s="108">
        <f t="shared" si="3"/>
        <v>0.1748337523</v>
      </c>
      <c r="G71" s="108"/>
    </row>
    <row r="72" ht="15.75" customHeight="1">
      <c r="C72" s="107">
        <v>17.0</v>
      </c>
      <c r="D72" s="111">
        <v>53.0</v>
      </c>
      <c r="E72" s="108">
        <f t="shared" si="2"/>
        <v>47.9300665</v>
      </c>
      <c r="F72" s="108">
        <f t="shared" si="3"/>
        <v>5.069933501</v>
      </c>
      <c r="G72" s="108"/>
    </row>
    <row r="73" ht="15.75" customHeight="1">
      <c r="C73" s="107">
        <v>18.0</v>
      </c>
      <c r="D73" s="111">
        <v>38.0</v>
      </c>
      <c r="E73" s="108">
        <f t="shared" si="2"/>
        <v>50.9720266</v>
      </c>
      <c r="F73" s="108">
        <f t="shared" si="3"/>
        <v>12.9720266</v>
      </c>
      <c r="G73" s="108"/>
    </row>
    <row r="74" ht="15.75" customHeight="1">
      <c r="C74" s="107">
        <v>19.0</v>
      </c>
      <c r="D74" s="111">
        <v>57.0</v>
      </c>
      <c r="E74" s="108">
        <f t="shared" si="2"/>
        <v>43.18881064</v>
      </c>
      <c r="F74" s="108">
        <f t="shared" si="3"/>
        <v>13.81118936</v>
      </c>
      <c r="G74" s="108"/>
    </row>
    <row r="75" ht="15.75" customHeight="1">
      <c r="C75" s="107">
        <v>20.0</v>
      </c>
      <c r="D75" s="111">
        <v>40.0</v>
      </c>
      <c r="E75" s="108">
        <f t="shared" si="2"/>
        <v>51.47552426</v>
      </c>
      <c r="F75" s="108">
        <f t="shared" si="3"/>
        <v>11.47552426</v>
      </c>
      <c r="G75" s="108"/>
    </row>
    <row r="76" ht="15.75" customHeight="1">
      <c r="C76" s="107">
        <v>21.0</v>
      </c>
      <c r="D76" s="108"/>
      <c r="E76" s="108">
        <f>ROUND($F$2*$B$23+ (1-$F$2)*E75,0)</f>
        <v>51</v>
      </c>
      <c r="F76" s="112"/>
      <c r="G76" s="112"/>
    </row>
    <row r="77" ht="15.75" customHeight="1">
      <c r="C77" s="107">
        <v>22.0</v>
      </c>
      <c r="D77" s="107"/>
      <c r="E77" s="108">
        <f t="shared" ref="E77:E80" si="4">ROUND(E67,0)</f>
        <v>38</v>
      </c>
      <c r="F77" s="112"/>
      <c r="G77" s="112"/>
    </row>
    <row r="78" ht="15.75" customHeight="1">
      <c r="C78" s="107">
        <v>23.0</v>
      </c>
      <c r="D78" s="107"/>
      <c r="E78" s="108">
        <f t="shared" si="4"/>
        <v>41</v>
      </c>
      <c r="F78" s="112"/>
      <c r="G78" s="112"/>
    </row>
    <row r="79" ht="15.75" customHeight="1">
      <c r="C79" s="107">
        <v>24.0</v>
      </c>
      <c r="D79" s="107"/>
      <c r="E79" s="108">
        <f t="shared" si="4"/>
        <v>39</v>
      </c>
      <c r="F79" s="112"/>
      <c r="G79" s="112"/>
    </row>
    <row r="80" ht="15.75" customHeight="1">
      <c r="C80" s="107">
        <v>25.0</v>
      </c>
      <c r="D80" s="107"/>
      <c r="E80" s="108">
        <f t="shared" si="4"/>
        <v>52</v>
      </c>
      <c r="F80" s="112"/>
      <c r="G80" s="112"/>
    </row>
    <row r="81" ht="15.75" customHeight="1">
      <c r="C81" s="19"/>
      <c r="D81" s="19"/>
      <c r="E81" s="19"/>
      <c r="F81" s="19"/>
      <c r="G81" s="19"/>
    </row>
    <row r="82" ht="15.75" customHeight="1">
      <c r="C82" s="19"/>
      <c r="D82" s="19"/>
      <c r="E82" s="113" t="s">
        <v>80</v>
      </c>
      <c r="F82" s="114">
        <f>AVERAGE(F66:F75)</f>
        <v>9.758944149</v>
      </c>
      <c r="G82" s="19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3:A4"/>
    <mergeCell ref="B3:B5"/>
    <mergeCell ref="C54:C55"/>
    <mergeCell ref="D54:D55"/>
    <mergeCell ref="E54:E55"/>
    <mergeCell ref="F54:F55"/>
    <mergeCell ref="G54:G5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2.67"/>
  </cols>
  <sheetData>
    <row r="3">
      <c r="A3" s="1"/>
      <c r="B3" s="1"/>
      <c r="C3" s="1"/>
      <c r="D3" s="1"/>
      <c r="E3" s="1"/>
      <c r="F3" s="1"/>
      <c r="G3" s="115" t="s">
        <v>82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7">
      <c r="B7" s="51" t="s">
        <v>44</v>
      </c>
      <c r="C7" s="79">
        <v>0.1</v>
      </c>
    </row>
    <row r="10">
      <c r="B10" s="81" t="s">
        <v>45</v>
      </c>
      <c r="C10" s="81" t="s">
        <v>83</v>
      </c>
      <c r="D10" s="81" t="s">
        <v>37</v>
      </c>
      <c r="E10" s="81" t="s">
        <v>38</v>
      </c>
      <c r="F10" s="81" t="s">
        <v>39</v>
      </c>
      <c r="G10" s="81" t="s">
        <v>84</v>
      </c>
      <c r="H10" s="81" t="s">
        <v>31</v>
      </c>
      <c r="I10" s="81" t="s">
        <v>32</v>
      </c>
    </row>
    <row r="11">
      <c r="B11" s="116">
        <v>1.0</v>
      </c>
      <c r="C11" s="116">
        <v>55.0</v>
      </c>
      <c r="D11" s="59">
        <v>55.0</v>
      </c>
      <c r="E11" s="59">
        <v>55.0</v>
      </c>
      <c r="F11" s="4">
        <f t="shared" ref="F11:F30" si="2">(2*D11)-E11</f>
        <v>55</v>
      </c>
      <c r="G11" s="4">
        <f>((C12-C11)+(C14-C13))/2</f>
        <v>-15</v>
      </c>
      <c r="H11" s="4"/>
      <c r="I11" s="4"/>
    </row>
    <row r="12">
      <c r="B12" s="116">
        <f t="shared" ref="B12:B30" si="3">B11+1</f>
        <v>2</v>
      </c>
      <c r="C12" s="116">
        <v>46.0</v>
      </c>
      <c r="D12" s="4">
        <f t="shared" ref="D12:E12" si="1">$C$7*C12+(1-$C$7)*D11</f>
        <v>54.1</v>
      </c>
      <c r="E12" s="4">
        <f t="shared" si="1"/>
        <v>54.91</v>
      </c>
      <c r="F12" s="4">
        <f t="shared" si="2"/>
        <v>53.29</v>
      </c>
      <c r="G12" s="4">
        <f t="shared" ref="G12:G30" si="5">(($C$7/(1-$C$7))*(D12-E12))</f>
        <v>-0.09</v>
      </c>
      <c r="H12" s="4">
        <f t="shared" ref="H12:H30" si="6">F11+G11</f>
        <v>40</v>
      </c>
      <c r="I12" s="4">
        <f t="shared" ref="I12:I30" si="7">abs(C12-H12)</f>
        <v>6</v>
      </c>
    </row>
    <row r="13">
      <c r="B13" s="116">
        <f t="shared" si="3"/>
        <v>3</v>
      </c>
      <c r="C13" s="116">
        <v>58.0</v>
      </c>
      <c r="D13" s="4">
        <f t="shared" ref="D13:E13" si="4">$C$7*C13+(1-$C$7)*D12</f>
        <v>54.49</v>
      </c>
      <c r="E13" s="4">
        <f t="shared" si="4"/>
        <v>54.868</v>
      </c>
      <c r="F13" s="4">
        <f t="shared" si="2"/>
        <v>54.112</v>
      </c>
      <c r="G13" s="4">
        <f t="shared" si="5"/>
        <v>-0.042</v>
      </c>
      <c r="H13" s="4">
        <f t="shared" si="6"/>
        <v>53.2</v>
      </c>
      <c r="I13" s="4">
        <f t="shared" si="7"/>
        <v>4.8</v>
      </c>
    </row>
    <row r="14">
      <c r="B14" s="116">
        <f t="shared" si="3"/>
        <v>4</v>
      </c>
      <c r="C14" s="116">
        <v>37.0</v>
      </c>
      <c r="D14" s="4">
        <f t="shared" ref="D14:E14" si="8">$C$7*C14+(1-$C$7)*D13</f>
        <v>52.741</v>
      </c>
      <c r="E14" s="4">
        <f t="shared" si="8"/>
        <v>54.6553</v>
      </c>
      <c r="F14" s="4">
        <f t="shared" si="2"/>
        <v>50.8267</v>
      </c>
      <c r="G14" s="4">
        <f t="shared" si="5"/>
        <v>-0.2127</v>
      </c>
      <c r="H14" s="4">
        <f t="shared" si="6"/>
        <v>54.07</v>
      </c>
      <c r="I14" s="4">
        <f t="shared" si="7"/>
        <v>17.07</v>
      </c>
    </row>
    <row r="15">
      <c r="B15" s="116">
        <f t="shared" si="3"/>
        <v>5</v>
      </c>
      <c r="C15" s="116">
        <v>32.0</v>
      </c>
      <c r="D15" s="4">
        <f t="shared" ref="D15:E15" si="9">$C$7*C15+(1-$C$7)*D14</f>
        <v>50.6669</v>
      </c>
      <c r="E15" s="4">
        <f t="shared" si="9"/>
        <v>54.25646</v>
      </c>
      <c r="F15" s="4">
        <f t="shared" si="2"/>
        <v>47.07734</v>
      </c>
      <c r="G15" s="4">
        <f t="shared" si="5"/>
        <v>-0.39884</v>
      </c>
      <c r="H15" s="4">
        <f t="shared" si="6"/>
        <v>50.614</v>
      </c>
      <c r="I15" s="4">
        <f t="shared" si="7"/>
        <v>18.614</v>
      </c>
    </row>
    <row r="16">
      <c r="B16" s="116">
        <f t="shared" si="3"/>
        <v>6</v>
      </c>
      <c r="C16" s="116">
        <v>48.0</v>
      </c>
      <c r="D16" s="4">
        <f t="shared" ref="D16:E16" si="10">$C$7*C16+(1-$C$7)*D15</f>
        <v>50.40021</v>
      </c>
      <c r="E16" s="4">
        <f t="shared" si="10"/>
        <v>53.870835</v>
      </c>
      <c r="F16" s="4">
        <f t="shared" si="2"/>
        <v>46.929585</v>
      </c>
      <c r="G16" s="4">
        <f t="shared" si="5"/>
        <v>-0.385625</v>
      </c>
      <c r="H16" s="4">
        <f t="shared" si="6"/>
        <v>46.6785</v>
      </c>
      <c r="I16" s="4">
        <f t="shared" si="7"/>
        <v>1.3215</v>
      </c>
    </row>
    <row r="17">
      <c r="B17" s="116">
        <f t="shared" si="3"/>
        <v>7</v>
      </c>
      <c r="C17" s="116">
        <v>67.0</v>
      </c>
      <c r="D17" s="4">
        <f t="shared" ref="D17:E17" si="11">$C$7*C17+(1-$C$7)*D16</f>
        <v>52.060189</v>
      </c>
      <c r="E17" s="4">
        <f t="shared" si="11"/>
        <v>53.6897704</v>
      </c>
      <c r="F17" s="4">
        <f t="shared" si="2"/>
        <v>50.4306076</v>
      </c>
      <c r="G17" s="4">
        <f t="shared" si="5"/>
        <v>-0.1810646</v>
      </c>
      <c r="H17" s="4">
        <f t="shared" si="6"/>
        <v>46.54396</v>
      </c>
      <c r="I17" s="4">
        <f t="shared" si="7"/>
        <v>20.45604</v>
      </c>
    </row>
    <row r="18">
      <c r="B18" s="116">
        <f t="shared" si="3"/>
        <v>8</v>
      </c>
      <c r="C18" s="116">
        <v>68.0</v>
      </c>
      <c r="D18" s="4">
        <f t="shared" ref="D18:E18" si="12">$C$7*C18+(1-$C$7)*D17</f>
        <v>53.6541701</v>
      </c>
      <c r="E18" s="4">
        <f t="shared" si="12"/>
        <v>53.68621037</v>
      </c>
      <c r="F18" s="4">
        <f t="shared" si="2"/>
        <v>53.62212983</v>
      </c>
      <c r="G18" s="4">
        <f t="shared" si="5"/>
        <v>-0.00356003</v>
      </c>
      <c r="H18" s="4">
        <f t="shared" si="6"/>
        <v>50.249543</v>
      </c>
      <c r="I18" s="4">
        <f t="shared" si="7"/>
        <v>17.750457</v>
      </c>
    </row>
    <row r="19">
      <c r="B19" s="116">
        <f t="shared" si="3"/>
        <v>9</v>
      </c>
      <c r="C19" s="116">
        <v>52.0</v>
      </c>
      <c r="D19" s="4">
        <f t="shared" ref="D19:E19" si="13">$C$7*C19+(1-$C$7)*D18</f>
        <v>53.48875309</v>
      </c>
      <c r="E19" s="4">
        <f t="shared" si="13"/>
        <v>53.66646464</v>
      </c>
      <c r="F19" s="4">
        <f t="shared" si="2"/>
        <v>53.31104154</v>
      </c>
      <c r="G19" s="4">
        <f t="shared" si="5"/>
        <v>-0.019745728</v>
      </c>
      <c r="H19" s="4">
        <f t="shared" si="6"/>
        <v>53.6185698</v>
      </c>
      <c r="I19" s="4">
        <f t="shared" si="7"/>
        <v>1.6185698</v>
      </c>
    </row>
    <row r="20">
      <c r="B20" s="116">
        <f t="shared" si="3"/>
        <v>10</v>
      </c>
      <c r="C20" s="116">
        <v>42.0</v>
      </c>
      <c r="D20" s="4">
        <f t="shared" ref="D20:E20" si="14">$C$7*C20+(1-$C$7)*D19</f>
        <v>52.33987778</v>
      </c>
      <c r="E20" s="4">
        <f t="shared" si="14"/>
        <v>53.53380596</v>
      </c>
      <c r="F20" s="4">
        <f t="shared" si="2"/>
        <v>51.14594961</v>
      </c>
      <c r="G20" s="4">
        <f t="shared" si="5"/>
        <v>-0.1326586861</v>
      </c>
      <c r="H20" s="4">
        <f t="shared" si="6"/>
        <v>53.29129581</v>
      </c>
      <c r="I20" s="4">
        <f t="shared" si="7"/>
        <v>11.29129581</v>
      </c>
    </row>
    <row r="21">
      <c r="B21" s="116">
        <f t="shared" si="3"/>
        <v>11</v>
      </c>
      <c r="C21" s="116">
        <v>32.0</v>
      </c>
      <c r="D21" s="4">
        <f t="shared" ref="D21:E21" si="15">$C$7*C21+(1-$C$7)*D20</f>
        <v>50.30589</v>
      </c>
      <c r="E21" s="4">
        <f t="shared" si="15"/>
        <v>53.21101436</v>
      </c>
      <c r="F21" s="4">
        <f t="shared" si="2"/>
        <v>47.40076565</v>
      </c>
      <c r="G21" s="4">
        <f t="shared" si="5"/>
        <v>-0.3227915953</v>
      </c>
      <c r="H21" s="4">
        <f t="shared" si="6"/>
        <v>51.01329092</v>
      </c>
      <c r="I21" s="4">
        <f t="shared" si="7"/>
        <v>19.01329092</v>
      </c>
    </row>
    <row r="22">
      <c r="B22" s="116">
        <f t="shared" si="3"/>
        <v>12</v>
      </c>
      <c r="C22" s="116">
        <v>43.0</v>
      </c>
      <c r="D22" s="4">
        <f t="shared" ref="D22:E22" si="16">$C$7*C22+(1-$C$7)*D21</f>
        <v>49.575301</v>
      </c>
      <c r="E22" s="4">
        <f t="shared" si="16"/>
        <v>52.84744302</v>
      </c>
      <c r="F22" s="4">
        <f t="shared" si="2"/>
        <v>46.30315898</v>
      </c>
      <c r="G22" s="4">
        <f t="shared" si="5"/>
        <v>-0.3635713358</v>
      </c>
      <c r="H22" s="4">
        <f t="shared" si="6"/>
        <v>47.07797405</v>
      </c>
      <c r="I22" s="4">
        <f t="shared" si="7"/>
        <v>4.07797405</v>
      </c>
    </row>
    <row r="23">
      <c r="B23" s="116">
        <f t="shared" si="3"/>
        <v>13</v>
      </c>
      <c r="C23" s="116">
        <v>37.0</v>
      </c>
      <c r="D23" s="4">
        <f t="shared" ref="D23:E23" si="17">$C$7*C23+(1-$C$7)*D22</f>
        <v>48.3177709</v>
      </c>
      <c r="E23" s="4">
        <f t="shared" si="17"/>
        <v>52.39447581</v>
      </c>
      <c r="F23" s="4">
        <f t="shared" si="2"/>
        <v>44.24106599</v>
      </c>
      <c r="G23" s="4">
        <f t="shared" si="5"/>
        <v>-0.4529672122</v>
      </c>
      <c r="H23" s="4">
        <f t="shared" si="6"/>
        <v>45.93958764</v>
      </c>
      <c r="I23" s="4">
        <f t="shared" si="7"/>
        <v>8.939587645</v>
      </c>
    </row>
    <row r="24">
      <c r="B24" s="116">
        <f t="shared" si="3"/>
        <v>14</v>
      </c>
      <c r="C24" s="116">
        <v>61.0</v>
      </c>
      <c r="D24" s="4">
        <f t="shared" ref="D24:E24" si="18">$C$7*C24+(1-$C$7)*D23</f>
        <v>49.58599381</v>
      </c>
      <c r="E24" s="4">
        <f t="shared" si="18"/>
        <v>52.11362761</v>
      </c>
      <c r="F24" s="4">
        <f t="shared" si="2"/>
        <v>47.05836001</v>
      </c>
      <c r="G24" s="4">
        <f t="shared" si="5"/>
        <v>-0.2808482</v>
      </c>
      <c r="H24" s="4">
        <f t="shared" si="6"/>
        <v>43.78809878</v>
      </c>
      <c r="I24" s="4">
        <f t="shared" si="7"/>
        <v>17.21190122</v>
      </c>
    </row>
    <row r="25">
      <c r="B25" s="116">
        <f t="shared" si="3"/>
        <v>15</v>
      </c>
      <c r="C25" s="116">
        <v>45.0</v>
      </c>
      <c r="D25" s="4">
        <f t="shared" ref="D25:E25" si="19">$C$7*C25+(1-$C$7)*D24</f>
        <v>49.12739443</v>
      </c>
      <c r="E25" s="4">
        <f t="shared" si="19"/>
        <v>51.81500429</v>
      </c>
      <c r="F25" s="4">
        <f t="shared" si="2"/>
        <v>46.43978457</v>
      </c>
      <c r="G25" s="4">
        <f t="shared" si="5"/>
        <v>-0.2986233182</v>
      </c>
      <c r="H25" s="4">
        <f t="shared" si="6"/>
        <v>46.77751181</v>
      </c>
      <c r="I25" s="4">
        <f t="shared" si="7"/>
        <v>1.777511812</v>
      </c>
    </row>
    <row r="26">
      <c r="B26" s="116">
        <f t="shared" si="3"/>
        <v>16</v>
      </c>
      <c r="C26" s="116">
        <v>48.0</v>
      </c>
      <c r="D26" s="4">
        <f t="shared" ref="D26:E26" si="20">$C$7*C26+(1-$C$7)*D25</f>
        <v>49.01465499</v>
      </c>
      <c r="E26" s="4">
        <f t="shared" si="20"/>
        <v>51.53496936</v>
      </c>
      <c r="F26" s="4">
        <f t="shared" si="2"/>
        <v>46.49434061</v>
      </c>
      <c r="G26" s="4">
        <f t="shared" si="5"/>
        <v>-0.2800349307</v>
      </c>
      <c r="H26" s="4">
        <f t="shared" si="6"/>
        <v>46.14116125</v>
      </c>
      <c r="I26" s="4">
        <f t="shared" si="7"/>
        <v>1.858838751</v>
      </c>
    </row>
    <row r="27">
      <c r="B27" s="116">
        <f t="shared" si="3"/>
        <v>17</v>
      </c>
      <c r="C27" s="116">
        <v>53.0</v>
      </c>
      <c r="D27" s="4">
        <f t="shared" ref="D27:E27" si="21">$C$7*C27+(1-$C$7)*D26</f>
        <v>49.41318949</v>
      </c>
      <c r="E27" s="4">
        <f t="shared" si="21"/>
        <v>51.32279138</v>
      </c>
      <c r="F27" s="4">
        <f t="shared" si="2"/>
        <v>47.5035876</v>
      </c>
      <c r="G27" s="4">
        <f t="shared" si="5"/>
        <v>-0.2121779875</v>
      </c>
      <c r="H27" s="4">
        <f t="shared" si="6"/>
        <v>46.21430568</v>
      </c>
      <c r="I27" s="4">
        <f t="shared" si="7"/>
        <v>6.785694319</v>
      </c>
    </row>
    <row r="28">
      <c r="B28" s="116">
        <f t="shared" si="3"/>
        <v>18</v>
      </c>
      <c r="C28" s="116">
        <v>38.0</v>
      </c>
      <c r="D28" s="4">
        <f t="shared" ref="D28:E28" si="22">$C$7*C28+(1-$C$7)*D27</f>
        <v>48.27187054</v>
      </c>
      <c r="E28" s="4">
        <f t="shared" si="22"/>
        <v>51.01769929</v>
      </c>
      <c r="F28" s="4">
        <f t="shared" si="2"/>
        <v>45.52604179</v>
      </c>
      <c r="G28" s="4">
        <f t="shared" si="5"/>
        <v>-0.3050920836</v>
      </c>
      <c r="H28" s="4">
        <f t="shared" si="6"/>
        <v>47.29140961</v>
      </c>
      <c r="I28" s="4">
        <f t="shared" si="7"/>
        <v>9.291409614</v>
      </c>
    </row>
    <row r="29">
      <c r="B29" s="116">
        <f t="shared" si="3"/>
        <v>19</v>
      </c>
      <c r="C29" s="116">
        <v>57.0</v>
      </c>
      <c r="D29" s="4">
        <f t="shared" ref="D29:E29" si="23">$C$7*C29+(1-$C$7)*D28</f>
        <v>49.14468349</v>
      </c>
      <c r="E29" s="4">
        <f t="shared" si="23"/>
        <v>50.83039771</v>
      </c>
      <c r="F29" s="4">
        <f t="shared" si="2"/>
        <v>47.45896926</v>
      </c>
      <c r="G29" s="4">
        <f t="shared" si="5"/>
        <v>-0.1873015807</v>
      </c>
      <c r="H29" s="4">
        <f t="shared" si="6"/>
        <v>45.2209497</v>
      </c>
      <c r="I29" s="4">
        <f t="shared" si="7"/>
        <v>11.7790503</v>
      </c>
      <c r="J29" s="51" t="s">
        <v>8</v>
      </c>
    </row>
    <row r="30">
      <c r="B30" s="116">
        <f t="shared" si="3"/>
        <v>20</v>
      </c>
      <c r="C30" s="116">
        <v>40.0</v>
      </c>
      <c r="D30" s="4">
        <f t="shared" ref="D30:E30" si="24">$C$7*C30+(1-$C$7)*D29</f>
        <v>48.23021514</v>
      </c>
      <c r="E30" s="4">
        <f t="shared" si="24"/>
        <v>50.57037945</v>
      </c>
      <c r="F30" s="4">
        <f t="shared" si="2"/>
        <v>45.89005082</v>
      </c>
      <c r="G30" s="4">
        <f t="shared" si="5"/>
        <v>-0.2600182574</v>
      </c>
      <c r="H30" s="4">
        <f t="shared" si="6"/>
        <v>47.27166768</v>
      </c>
      <c r="I30" s="4">
        <f t="shared" si="7"/>
        <v>7.27166768</v>
      </c>
      <c r="J30" s="60">
        <f>AVERAGE(I21:I30)</f>
        <v>8.800692631</v>
      </c>
    </row>
    <row r="31">
      <c r="B31" s="57">
        <v>21.0</v>
      </c>
      <c r="C31" s="4"/>
      <c r="D31" s="4"/>
      <c r="E31" s="4"/>
      <c r="F31" s="4"/>
      <c r="G31" s="4"/>
      <c r="H31" s="53">
        <f>F30+(G30*2)</f>
        <v>45.37001431</v>
      </c>
      <c r="I31" s="4"/>
    </row>
    <row r="32">
      <c r="B32" s="57">
        <v>22.0</v>
      </c>
      <c r="C32" s="4"/>
      <c r="D32" s="4"/>
      <c r="E32" s="4"/>
      <c r="F32" s="4"/>
      <c r="G32" s="4"/>
      <c r="H32" s="53">
        <f>F30+(G30*3)</f>
        <v>45.10999605</v>
      </c>
      <c r="I32" s="4"/>
    </row>
    <row r="33">
      <c r="B33" s="57">
        <v>23.0</v>
      </c>
      <c r="C33" s="4"/>
      <c r="D33" s="4"/>
      <c r="E33" s="4"/>
      <c r="F33" s="4"/>
      <c r="G33" s="4"/>
      <c r="H33" s="53">
        <f>F30+(G30*4)</f>
        <v>44.84997779</v>
      </c>
      <c r="I33" s="4"/>
    </row>
    <row r="34">
      <c r="B34" s="57">
        <v>24.0</v>
      </c>
      <c r="C34" s="4"/>
      <c r="D34" s="4"/>
      <c r="E34" s="4"/>
      <c r="F34" s="4"/>
      <c r="G34" s="4"/>
      <c r="H34" s="53">
        <f>F30+(G30*5)</f>
        <v>44.58995953</v>
      </c>
      <c r="I34" s="4"/>
    </row>
    <row r="35">
      <c r="B35" s="57">
        <v>25.0</v>
      </c>
      <c r="C35" s="4"/>
      <c r="D35" s="4"/>
      <c r="E35" s="4"/>
      <c r="F35" s="4"/>
      <c r="G35" s="4"/>
      <c r="H35" s="53">
        <f>F30+(G30*6)</f>
        <v>44.32994128</v>
      </c>
      <c r="I35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0.67"/>
    <col customWidth="1" min="8" max="8" width="21.56"/>
    <col customWidth="1" min="12" max="12" width="14.11"/>
    <col customWidth="1" min="19" max="19" width="13.22"/>
  </cols>
  <sheetData>
    <row r="1">
      <c r="A1" s="117" t="s">
        <v>85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</row>
    <row r="2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</row>
    <row r="3">
      <c r="A3" s="120"/>
      <c r="B3" s="120"/>
      <c r="C3" s="120"/>
      <c r="D3" s="120"/>
      <c r="E3" s="120"/>
      <c r="F3" s="120"/>
      <c r="G3" s="120"/>
      <c r="H3" s="121" t="s">
        <v>86</v>
      </c>
      <c r="I3" s="122">
        <v>10.0</v>
      </c>
      <c r="J3" s="121" t="s">
        <v>87</v>
      </c>
      <c r="K3" s="120"/>
      <c r="L3" s="120"/>
      <c r="M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</row>
    <row r="4">
      <c r="A4" s="120"/>
      <c r="B4" s="120"/>
      <c r="C4" s="120"/>
      <c r="D4" s="120"/>
      <c r="E4" s="120"/>
      <c r="F4" s="120"/>
      <c r="G4" s="120"/>
      <c r="H4" s="121" t="s">
        <v>88</v>
      </c>
      <c r="I4" s="122">
        <v>480.0</v>
      </c>
      <c r="J4" s="121" t="s">
        <v>89</v>
      </c>
      <c r="K4" s="120"/>
      <c r="L4" s="122">
        <v>8.0</v>
      </c>
      <c r="M4" s="121" t="s">
        <v>90</v>
      </c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</row>
    <row r="5">
      <c r="A5" s="120"/>
      <c r="B5" s="120"/>
      <c r="C5" s="120"/>
      <c r="D5" s="120"/>
      <c r="E5" s="120"/>
      <c r="F5" s="120"/>
      <c r="G5" s="120"/>
      <c r="H5" s="121" t="s">
        <v>91</v>
      </c>
      <c r="I5" s="122">
        <v>5.0</v>
      </c>
      <c r="J5" s="121" t="s">
        <v>92</v>
      </c>
      <c r="K5" s="120"/>
      <c r="L5" s="122">
        <v>2400.0</v>
      </c>
      <c r="M5" s="121" t="s">
        <v>89</v>
      </c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</row>
    <row r="6">
      <c r="A6" s="120"/>
      <c r="B6" s="120"/>
      <c r="C6" s="120"/>
      <c r="D6" s="120"/>
      <c r="E6" s="120"/>
      <c r="F6" s="120"/>
      <c r="G6" s="120"/>
      <c r="H6" s="121" t="s">
        <v>93</v>
      </c>
      <c r="I6" s="122">
        <v>52.0</v>
      </c>
      <c r="J6" s="121" t="s">
        <v>94</v>
      </c>
      <c r="K6" s="120"/>
      <c r="L6" s="122">
        <v>124800.0</v>
      </c>
      <c r="M6" s="121" t="s">
        <v>89</v>
      </c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</row>
    <row r="7">
      <c r="A7" s="120"/>
      <c r="B7" s="120"/>
      <c r="C7" s="120"/>
      <c r="D7" s="120"/>
      <c r="E7" s="120"/>
      <c r="F7" s="120"/>
      <c r="G7" s="120"/>
      <c r="H7" s="121" t="s">
        <v>95</v>
      </c>
      <c r="I7" s="122">
        <v>30.0</v>
      </c>
      <c r="J7" s="121" t="s">
        <v>96</v>
      </c>
      <c r="K7" s="120"/>
      <c r="L7" s="122">
        <v>150.0</v>
      </c>
      <c r="M7" s="121" t="s">
        <v>97</v>
      </c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</row>
    <row r="8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</row>
    <row r="9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</row>
    <row r="10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</row>
    <row r="11">
      <c r="A11" s="120"/>
      <c r="B11" s="120"/>
      <c r="C11" s="120"/>
      <c r="D11" s="120"/>
      <c r="E11" s="120"/>
      <c r="F11" s="120"/>
      <c r="G11" s="123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</row>
    <row r="12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</row>
    <row r="13">
      <c r="A13" s="120"/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</row>
    <row r="14">
      <c r="A14" s="124" t="s">
        <v>98</v>
      </c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</row>
    <row r="15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</row>
    <row r="16">
      <c r="A16" s="126" t="s">
        <v>99</v>
      </c>
      <c r="B16" s="127"/>
      <c r="C16" s="127"/>
      <c r="D16" s="127"/>
      <c r="E16" s="127"/>
      <c r="F16" s="127"/>
      <c r="G16" s="127"/>
      <c r="H16" s="127"/>
      <c r="I16" s="127"/>
      <c r="J16" s="128"/>
      <c r="K16" s="120"/>
      <c r="L16" s="126" t="s">
        <v>100</v>
      </c>
      <c r="M16" s="127"/>
      <c r="N16" s="127"/>
      <c r="O16" s="127"/>
      <c r="P16" s="127"/>
      <c r="Q16" s="127"/>
      <c r="R16" s="127"/>
      <c r="S16" s="127"/>
      <c r="T16" s="127"/>
      <c r="U16" s="128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</row>
    <row r="17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>
      <c r="A18" s="129" t="s">
        <v>14</v>
      </c>
      <c r="B18" s="130">
        <v>21.0</v>
      </c>
      <c r="C18" s="130">
        <v>22.0</v>
      </c>
      <c r="D18" s="130">
        <v>23.0</v>
      </c>
      <c r="E18" s="130">
        <v>24.0</v>
      </c>
      <c r="F18" s="130">
        <v>25.0</v>
      </c>
      <c r="G18" s="130" t="s">
        <v>23</v>
      </c>
      <c r="H18" s="131" t="s">
        <v>101</v>
      </c>
      <c r="I18" s="120"/>
      <c r="J18" s="120"/>
      <c r="K18" s="120"/>
      <c r="L18" s="129" t="s">
        <v>14</v>
      </c>
      <c r="M18" s="130">
        <v>21.0</v>
      </c>
      <c r="N18" s="130">
        <v>22.0</v>
      </c>
      <c r="O18" s="130">
        <v>23.0</v>
      </c>
      <c r="P18" s="130">
        <v>24.0</v>
      </c>
      <c r="Q18" s="130">
        <v>25.0</v>
      </c>
      <c r="R18" s="130" t="s">
        <v>23</v>
      </c>
      <c r="S18" s="131" t="s">
        <v>101</v>
      </c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</row>
    <row r="19">
      <c r="A19" s="132" t="s">
        <v>102</v>
      </c>
      <c r="B19" s="122">
        <v>0.0</v>
      </c>
      <c r="C19" s="122">
        <v>0.0</v>
      </c>
      <c r="D19" s="122">
        <v>0.0</v>
      </c>
      <c r="E19" s="122">
        <v>0.0</v>
      </c>
      <c r="F19" s="122">
        <v>0.0</v>
      </c>
      <c r="G19" s="122">
        <v>0.0</v>
      </c>
      <c r="H19" s="133"/>
      <c r="I19" s="120"/>
      <c r="J19" s="120"/>
      <c r="K19" s="120"/>
      <c r="L19" s="132" t="s">
        <v>102</v>
      </c>
      <c r="M19" s="122">
        <v>0.0</v>
      </c>
      <c r="N19" s="122">
        <v>0.0</v>
      </c>
      <c r="O19" s="122">
        <v>0.0</v>
      </c>
      <c r="P19" s="122">
        <v>0.0</v>
      </c>
      <c r="Q19" s="122">
        <v>0.0</v>
      </c>
      <c r="R19" s="122">
        <v>0.0</v>
      </c>
      <c r="S19" s="133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</row>
    <row r="20">
      <c r="A20" s="132" t="s">
        <v>103</v>
      </c>
      <c r="B20" s="122">
        <v>150.0</v>
      </c>
      <c r="C20" s="122">
        <v>150.0</v>
      </c>
      <c r="D20" s="122">
        <v>150.0</v>
      </c>
      <c r="E20" s="122">
        <v>150.0</v>
      </c>
      <c r="F20" s="122">
        <v>150.0</v>
      </c>
      <c r="G20" s="122">
        <v>750.0</v>
      </c>
      <c r="H20" s="134"/>
      <c r="I20" s="120"/>
      <c r="J20" s="120"/>
      <c r="K20" s="120"/>
      <c r="L20" s="132" t="s">
        <v>103</v>
      </c>
      <c r="M20" s="122">
        <v>150.0</v>
      </c>
      <c r="N20" s="122">
        <v>150.0</v>
      </c>
      <c r="O20" s="122">
        <v>150.0</v>
      </c>
      <c r="P20" s="122">
        <v>150.0</v>
      </c>
      <c r="Q20" s="122">
        <v>150.0</v>
      </c>
      <c r="R20" s="122">
        <v>750.0</v>
      </c>
      <c r="S20" s="135">
        <v>75000.0</v>
      </c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</row>
    <row r="21">
      <c r="A21" s="132" t="s">
        <v>104</v>
      </c>
      <c r="B21" s="122">
        <v>145.0</v>
      </c>
      <c r="C21" s="122">
        <v>145.0</v>
      </c>
      <c r="D21" s="122">
        <v>145.0</v>
      </c>
      <c r="E21" s="122">
        <v>145.0</v>
      </c>
      <c r="F21" s="122">
        <v>145.0</v>
      </c>
      <c r="G21" s="122">
        <v>725.0</v>
      </c>
      <c r="H21" s="135">
        <v>72500.0</v>
      </c>
      <c r="I21" s="120"/>
      <c r="J21" s="120"/>
      <c r="K21" s="120"/>
      <c r="L21" s="132" t="s">
        <v>104</v>
      </c>
      <c r="M21" s="122">
        <v>145.0</v>
      </c>
      <c r="N21" s="122">
        <v>145.0</v>
      </c>
      <c r="O21" s="122">
        <v>145.0</v>
      </c>
      <c r="P21" s="122">
        <v>145.0</v>
      </c>
      <c r="Q21" s="122">
        <v>145.0</v>
      </c>
      <c r="R21" s="122">
        <v>725.0</v>
      </c>
      <c r="S21" s="133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</row>
    <row r="22">
      <c r="A22" s="132" t="s">
        <v>105</v>
      </c>
      <c r="B22" s="122">
        <v>145.0</v>
      </c>
      <c r="C22" s="122">
        <v>145.0</v>
      </c>
      <c r="D22" s="122">
        <v>145.0</v>
      </c>
      <c r="E22" s="122">
        <v>145.0</v>
      </c>
      <c r="F22" s="122">
        <v>145.0</v>
      </c>
      <c r="G22" s="122">
        <v>725.0</v>
      </c>
      <c r="H22" s="133"/>
      <c r="I22" s="120"/>
      <c r="J22" s="120"/>
      <c r="K22" s="120"/>
      <c r="L22" s="132" t="s">
        <v>105</v>
      </c>
      <c r="M22" s="122">
        <v>145.0</v>
      </c>
      <c r="N22" s="122">
        <v>145.0</v>
      </c>
      <c r="O22" s="122">
        <v>145.0</v>
      </c>
      <c r="P22" s="122">
        <v>145.0</v>
      </c>
      <c r="Q22" s="122">
        <v>145.0</v>
      </c>
      <c r="R22" s="122">
        <v>725.0</v>
      </c>
      <c r="S22" s="133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</row>
    <row r="23">
      <c r="A23" s="132" t="s">
        <v>106</v>
      </c>
      <c r="B23" s="122">
        <v>5.0</v>
      </c>
      <c r="C23" s="122">
        <v>5.0</v>
      </c>
      <c r="D23" s="122">
        <v>5.0</v>
      </c>
      <c r="E23" s="122">
        <v>5.0</v>
      </c>
      <c r="F23" s="122">
        <v>5.0</v>
      </c>
      <c r="G23" s="122">
        <v>25.0</v>
      </c>
      <c r="H23" s="133"/>
      <c r="I23" s="120"/>
      <c r="J23" s="120"/>
      <c r="K23" s="120"/>
      <c r="L23" s="132" t="s">
        <v>106</v>
      </c>
      <c r="M23" s="122">
        <v>5.0</v>
      </c>
      <c r="N23" s="122">
        <v>5.0</v>
      </c>
      <c r="O23" s="122">
        <v>5.0</v>
      </c>
      <c r="P23" s="122">
        <v>5.0</v>
      </c>
      <c r="Q23" s="122">
        <v>5.0</v>
      </c>
      <c r="R23" s="122">
        <v>25.0</v>
      </c>
      <c r="S23" s="133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</row>
    <row r="24">
      <c r="A24" s="132" t="s">
        <v>107</v>
      </c>
      <c r="B24" s="122">
        <v>10.0</v>
      </c>
      <c r="C24" s="123"/>
      <c r="D24" s="123"/>
      <c r="E24" s="123"/>
      <c r="F24" s="123"/>
      <c r="G24" s="122">
        <v>10.0</v>
      </c>
      <c r="H24" s="133"/>
      <c r="I24" s="120"/>
      <c r="J24" s="120"/>
      <c r="K24" s="120"/>
      <c r="L24" s="132" t="s">
        <v>107</v>
      </c>
      <c r="M24" s="122">
        <v>10.0</v>
      </c>
      <c r="N24" s="123"/>
      <c r="O24" s="123"/>
      <c r="P24" s="123"/>
      <c r="Q24" s="123"/>
      <c r="R24" s="122">
        <v>10.0</v>
      </c>
      <c r="S24" s="133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</row>
    <row r="25">
      <c r="A25" s="132" t="s">
        <v>108</v>
      </c>
      <c r="B25" s="122">
        <v>0.0</v>
      </c>
      <c r="C25" s="122">
        <v>0.0</v>
      </c>
      <c r="D25" s="122">
        <v>0.0</v>
      </c>
      <c r="E25" s="122">
        <v>0.0</v>
      </c>
      <c r="F25" s="122">
        <v>0.0</v>
      </c>
      <c r="G25" s="122">
        <v>0.0</v>
      </c>
      <c r="H25" s="133"/>
      <c r="I25" s="120"/>
      <c r="J25" s="120"/>
      <c r="K25" s="120"/>
      <c r="L25" s="132" t="s">
        <v>108</v>
      </c>
      <c r="M25" s="122">
        <v>0.0</v>
      </c>
      <c r="N25" s="122">
        <v>0.0</v>
      </c>
      <c r="O25" s="122">
        <v>0.0</v>
      </c>
      <c r="P25" s="122">
        <v>0.0</v>
      </c>
      <c r="Q25" s="122">
        <v>0.0</v>
      </c>
      <c r="R25" s="122">
        <v>0.0</v>
      </c>
      <c r="S25" s="134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</row>
    <row r="26">
      <c r="A26" s="132" t="s">
        <v>109</v>
      </c>
      <c r="B26" s="122">
        <v>5.0</v>
      </c>
      <c r="C26" s="122">
        <v>5.0</v>
      </c>
      <c r="D26" s="122">
        <v>5.0</v>
      </c>
      <c r="E26" s="122">
        <v>5.0</v>
      </c>
      <c r="F26" s="122">
        <v>5.0</v>
      </c>
      <c r="G26" s="122">
        <v>25.0</v>
      </c>
      <c r="H26" s="135">
        <v>4000.0</v>
      </c>
      <c r="I26" s="120"/>
      <c r="J26" s="120"/>
      <c r="K26" s="120"/>
      <c r="L26" s="132" t="s">
        <v>110</v>
      </c>
      <c r="M26" s="122">
        <v>5.0</v>
      </c>
      <c r="N26" s="122">
        <v>0.0</v>
      </c>
      <c r="O26" s="122">
        <v>0.0</v>
      </c>
      <c r="P26" s="122">
        <v>0.0</v>
      </c>
      <c r="Q26" s="122">
        <v>0.0</v>
      </c>
      <c r="R26" s="122">
        <v>5.0</v>
      </c>
      <c r="S26" s="135">
        <v>125000.0</v>
      </c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</row>
    <row r="27">
      <c r="A27" s="132" t="s">
        <v>111</v>
      </c>
      <c r="B27" s="122">
        <v>0.0</v>
      </c>
      <c r="C27" s="122">
        <v>0.0</v>
      </c>
      <c r="D27" s="122">
        <v>0.0</v>
      </c>
      <c r="E27" s="122">
        <v>0.0</v>
      </c>
      <c r="F27" s="122">
        <v>0.0</v>
      </c>
      <c r="G27" s="122">
        <v>0.0</v>
      </c>
      <c r="H27" s="135">
        <v>0.0</v>
      </c>
      <c r="I27" s="120"/>
      <c r="J27" s="120"/>
      <c r="K27" s="120"/>
      <c r="L27" s="132" t="s">
        <v>109</v>
      </c>
      <c r="M27" s="122">
        <v>5.0</v>
      </c>
      <c r="N27" s="122">
        <v>5.0</v>
      </c>
      <c r="O27" s="122">
        <v>5.0</v>
      </c>
      <c r="P27" s="122">
        <v>5.0</v>
      </c>
      <c r="Q27" s="122">
        <v>5.0</v>
      </c>
      <c r="R27" s="122">
        <v>25.0</v>
      </c>
      <c r="S27" s="135">
        <v>800.0</v>
      </c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</row>
    <row r="28">
      <c r="A28" s="132" t="s">
        <v>112</v>
      </c>
      <c r="B28" s="122">
        <v>0.0</v>
      </c>
      <c r="C28" s="122">
        <v>0.0</v>
      </c>
      <c r="D28" s="122">
        <v>0.0</v>
      </c>
      <c r="E28" s="122">
        <v>0.0</v>
      </c>
      <c r="F28" s="122">
        <v>0.0</v>
      </c>
      <c r="G28" s="122">
        <v>0.0</v>
      </c>
      <c r="H28" s="135">
        <v>0.0</v>
      </c>
      <c r="I28" s="123"/>
      <c r="J28" s="120"/>
      <c r="K28" s="120"/>
      <c r="L28" s="132" t="s">
        <v>111</v>
      </c>
      <c r="M28" s="122">
        <v>0.0</v>
      </c>
      <c r="N28" s="122">
        <v>0.0</v>
      </c>
      <c r="O28" s="122">
        <v>0.0</v>
      </c>
      <c r="P28" s="122">
        <v>0.0</v>
      </c>
      <c r="Q28" s="122">
        <v>0.0</v>
      </c>
      <c r="R28" s="122">
        <v>0.0</v>
      </c>
      <c r="S28" s="133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</row>
    <row r="29">
      <c r="A29" s="136" t="s">
        <v>113</v>
      </c>
      <c r="B29" s="137">
        <v>0.0</v>
      </c>
      <c r="C29" s="137">
        <v>0.0</v>
      </c>
      <c r="D29" s="137">
        <v>0.0</v>
      </c>
      <c r="E29" s="137">
        <v>0.0</v>
      </c>
      <c r="F29" s="137">
        <v>0.0</v>
      </c>
      <c r="G29" s="137">
        <v>0.0</v>
      </c>
      <c r="H29" s="138"/>
      <c r="I29" s="120"/>
      <c r="J29" s="120"/>
      <c r="K29" s="120"/>
      <c r="L29" s="132" t="s">
        <v>112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33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</row>
    <row r="30">
      <c r="A30" s="120"/>
      <c r="B30" s="120"/>
      <c r="C30" s="120"/>
      <c r="D30" s="120"/>
      <c r="E30" s="120"/>
      <c r="F30" s="120"/>
      <c r="G30" s="120"/>
      <c r="H30" s="139">
        <v>76500.0</v>
      </c>
      <c r="I30" s="120"/>
      <c r="J30" s="120"/>
      <c r="K30" s="120"/>
      <c r="L30" s="136" t="s">
        <v>113</v>
      </c>
      <c r="M30" s="137">
        <v>0.0</v>
      </c>
      <c r="N30" s="137">
        <v>0.0</v>
      </c>
      <c r="O30" s="137">
        <v>0.0</v>
      </c>
      <c r="P30" s="137">
        <v>0.0</v>
      </c>
      <c r="Q30" s="137">
        <v>0.0</v>
      </c>
      <c r="R30" s="137">
        <v>0.0</v>
      </c>
      <c r="S30" s="14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</row>
    <row r="31">
      <c r="A31" s="120"/>
      <c r="B31" s="120"/>
      <c r="C31" s="120"/>
      <c r="D31" s="120"/>
      <c r="E31" s="120"/>
      <c r="F31" s="120"/>
      <c r="G31" s="123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39">
        <v>200800.0</v>
      </c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</row>
    <row r="32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</row>
    <row r="33">
      <c r="A33" s="124" t="s">
        <v>114</v>
      </c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</row>
    <row r="34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</row>
    <row r="35">
      <c r="A35" s="126" t="s">
        <v>99</v>
      </c>
      <c r="B35" s="127"/>
      <c r="C35" s="127"/>
      <c r="D35" s="127"/>
      <c r="E35" s="127"/>
      <c r="F35" s="127"/>
      <c r="G35" s="127"/>
      <c r="H35" s="127"/>
      <c r="I35" s="127"/>
      <c r="J35" s="128"/>
      <c r="K35" s="120"/>
      <c r="L35" s="126" t="s">
        <v>100</v>
      </c>
      <c r="M35" s="127"/>
      <c r="N35" s="127"/>
      <c r="O35" s="127"/>
      <c r="P35" s="127"/>
      <c r="Q35" s="127"/>
      <c r="R35" s="127"/>
      <c r="S35" s="127"/>
      <c r="T35" s="127"/>
      <c r="U35" s="128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0"/>
      <c r="AX35" s="120"/>
      <c r="AY35" s="120"/>
      <c r="AZ35" s="120"/>
    </row>
    <row r="36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</row>
    <row r="37">
      <c r="A37" s="129" t="s">
        <v>14</v>
      </c>
      <c r="B37" s="130">
        <v>21.0</v>
      </c>
      <c r="C37" s="130">
        <v>22.0</v>
      </c>
      <c r="D37" s="130">
        <v>23.0</v>
      </c>
      <c r="E37" s="130">
        <v>24.0</v>
      </c>
      <c r="F37" s="130">
        <v>25.0</v>
      </c>
      <c r="G37" s="130" t="s">
        <v>23</v>
      </c>
      <c r="H37" s="131" t="s">
        <v>101</v>
      </c>
      <c r="I37" s="120"/>
      <c r="J37" s="120"/>
      <c r="K37" s="120"/>
      <c r="L37" s="129" t="s">
        <v>14</v>
      </c>
      <c r="M37" s="130">
        <v>21.0</v>
      </c>
      <c r="N37" s="130">
        <v>22.0</v>
      </c>
      <c r="O37" s="130">
        <v>23.0</v>
      </c>
      <c r="P37" s="130">
        <v>24.0</v>
      </c>
      <c r="Q37" s="130">
        <v>25.0</v>
      </c>
      <c r="R37" s="130" t="s">
        <v>23</v>
      </c>
      <c r="S37" s="131" t="s">
        <v>101</v>
      </c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0"/>
      <c r="AX37" s="120"/>
      <c r="AY37" s="120"/>
      <c r="AZ37" s="120"/>
    </row>
    <row r="38">
      <c r="A38" s="132" t="s">
        <v>102</v>
      </c>
      <c r="B38" s="122">
        <v>0.0</v>
      </c>
      <c r="C38" s="122">
        <v>17.0</v>
      </c>
      <c r="D38" s="122">
        <v>12.0</v>
      </c>
      <c r="E38" s="122">
        <v>0.0</v>
      </c>
      <c r="F38" s="122">
        <v>0.0</v>
      </c>
      <c r="G38" s="122">
        <v>29.0</v>
      </c>
      <c r="H38" s="133"/>
      <c r="I38" s="120"/>
      <c r="J38" s="120"/>
      <c r="K38" s="120"/>
      <c r="L38" s="132" t="s">
        <v>102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33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</row>
    <row r="39">
      <c r="A39" s="132" t="s">
        <v>103</v>
      </c>
      <c r="B39" s="122">
        <v>210.0</v>
      </c>
      <c r="C39" s="122">
        <v>210.0</v>
      </c>
      <c r="D39" s="122">
        <v>210.0</v>
      </c>
      <c r="E39" s="122">
        <v>210.0</v>
      </c>
      <c r="F39" s="122">
        <v>210.0</v>
      </c>
      <c r="G39" s="122">
        <v>1050.0</v>
      </c>
      <c r="H39" s="134"/>
      <c r="I39" s="120"/>
      <c r="J39" s="120"/>
      <c r="K39" s="120"/>
      <c r="L39" s="132" t="s">
        <v>103</v>
      </c>
      <c r="M39" s="122">
        <v>210.0</v>
      </c>
      <c r="N39" s="122">
        <v>210.0</v>
      </c>
      <c r="O39" s="122">
        <v>240.0</v>
      </c>
      <c r="P39" s="122">
        <v>240.0</v>
      </c>
      <c r="Q39" s="122">
        <v>180.0</v>
      </c>
      <c r="R39" s="122">
        <v>1080.0</v>
      </c>
      <c r="S39" s="135">
        <v>108000.0</v>
      </c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</row>
    <row r="40">
      <c r="A40" s="132" t="s">
        <v>104</v>
      </c>
      <c r="B40" s="122">
        <v>201.0</v>
      </c>
      <c r="C40" s="122">
        <v>201.0</v>
      </c>
      <c r="D40" s="122">
        <v>201.0</v>
      </c>
      <c r="E40" s="122">
        <v>201.0</v>
      </c>
      <c r="F40" s="122">
        <v>201.0</v>
      </c>
      <c r="G40" s="122">
        <v>1005.0</v>
      </c>
      <c r="H40" s="135">
        <v>80400.0</v>
      </c>
      <c r="I40" s="120"/>
      <c r="J40" s="120"/>
      <c r="K40" s="120"/>
      <c r="L40" s="132" t="s">
        <v>104</v>
      </c>
      <c r="M40" s="122">
        <v>184.0</v>
      </c>
      <c r="N40" s="122">
        <v>206.0</v>
      </c>
      <c r="O40" s="122">
        <v>224.0</v>
      </c>
      <c r="P40" s="122">
        <v>213.0</v>
      </c>
      <c r="Q40" s="122">
        <v>178.0</v>
      </c>
      <c r="R40" s="122">
        <v>1005.0</v>
      </c>
      <c r="S40" s="133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/>
      <c r="AY40" s="120"/>
      <c r="AZ40" s="120"/>
    </row>
    <row r="41">
      <c r="A41" s="132" t="s">
        <v>105</v>
      </c>
      <c r="B41" s="122">
        <v>184.0</v>
      </c>
      <c r="C41" s="122">
        <v>206.0</v>
      </c>
      <c r="D41" s="122">
        <v>224.0</v>
      </c>
      <c r="E41" s="122">
        <v>213.0</v>
      </c>
      <c r="F41" s="122">
        <v>178.0</v>
      </c>
      <c r="G41" s="122">
        <v>1005.0</v>
      </c>
      <c r="H41" s="133"/>
      <c r="I41" s="120"/>
      <c r="J41" s="120"/>
      <c r="K41" s="120"/>
      <c r="L41" s="132" t="s">
        <v>105</v>
      </c>
      <c r="M41" s="122">
        <v>184.0</v>
      </c>
      <c r="N41" s="122">
        <v>206.0</v>
      </c>
      <c r="O41" s="122">
        <v>224.0</v>
      </c>
      <c r="P41" s="122">
        <v>213.0</v>
      </c>
      <c r="Q41" s="122">
        <v>178.0</v>
      </c>
      <c r="R41" s="122">
        <v>1005.0</v>
      </c>
      <c r="S41" s="133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</row>
    <row r="42">
      <c r="A42" s="132" t="s">
        <v>106</v>
      </c>
      <c r="B42" s="122">
        <v>7.0</v>
      </c>
      <c r="C42" s="122">
        <v>7.0</v>
      </c>
      <c r="D42" s="122">
        <v>7.0</v>
      </c>
      <c r="E42" s="122">
        <v>7.0</v>
      </c>
      <c r="F42" s="122">
        <v>7.0</v>
      </c>
      <c r="G42" s="122">
        <v>35.0</v>
      </c>
      <c r="H42" s="133"/>
      <c r="I42" s="120"/>
      <c r="J42" s="120"/>
      <c r="K42" s="120"/>
      <c r="L42" s="132" t="s">
        <v>106</v>
      </c>
      <c r="M42" s="122">
        <v>7.0</v>
      </c>
      <c r="N42" s="122">
        <v>7.0</v>
      </c>
      <c r="O42" s="122">
        <v>8.0</v>
      </c>
      <c r="P42" s="122">
        <v>8.0</v>
      </c>
      <c r="Q42" s="122">
        <v>6.0</v>
      </c>
      <c r="R42" s="122">
        <v>36.0</v>
      </c>
      <c r="S42" s="133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</row>
    <row r="43">
      <c r="A43" s="132" t="s">
        <v>107</v>
      </c>
      <c r="B43" s="122">
        <v>10.0</v>
      </c>
      <c r="C43" s="123"/>
      <c r="D43" s="123"/>
      <c r="E43" s="123"/>
      <c r="F43" s="123"/>
      <c r="G43" s="122">
        <v>10.0</v>
      </c>
      <c r="H43" s="133"/>
      <c r="I43" s="120"/>
      <c r="J43" s="120"/>
      <c r="K43" s="120"/>
      <c r="L43" s="132" t="s">
        <v>107</v>
      </c>
      <c r="M43" s="122">
        <v>10.0</v>
      </c>
      <c r="N43" s="123"/>
      <c r="O43" s="123"/>
      <c r="P43" s="123"/>
      <c r="Q43" s="123"/>
      <c r="R43" s="122">
        <v>10.0</v>
      </c>
      <c r="S43" s="133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0"/>
      <c r="AX43" s="120"/>
      <c r="AY43" s="120"/>
      <c r="AZ43" s="120"/>
    </row>
    <row r="44">
      <c r="A44" s="132" t="s">
        <v>108</v>
      </c>
      <c r="B44" s="122">
        <v>0.0</v>
      </c>
      <c r="C44" s="122">
        <v>0.0</v>
      </c>
      <c r="D44" s="122">
        <v>0.0</v>
      </c>
      <c r="E44" s="122">
        <v>0.0</v>
      </c>
      <c r="F44" s="122">
        <v>0.0</v>
      </c>
      <c r="G44" s="122">
        <v>0.0</v>
      </c>
      <c r="H44" s="133"/>
      <c r="I44" s="120"/>
      <c r="J44" s="120"/>
      <c r="K44" s="120"/>
      <c r="L44" s="132" t="s">
        <v>108</v>
      </c>
      <c r="M44" s="122">
        <v>0.0</v>
      </c>
      <c r="N44" s="122">
        <v>0.0</v>
      </c>
      <c r="O44" s="122">
        <v>1.0</v>
      </c>
      <c r="P44" s="122">
        <v>0.0</v>
      </c>
      <c r="Q44" s="122">
        <v>0.0</v>
      </c>
      <c r="R44" s="122">
        <v>1.0</v>
      </c>
      <c r="S44" s="135">
        <v>25000.0</v>
      </c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0"/>
      <c r="AY44" s="120"/>
      <c r="AZ44" s="120"/>
    </row>
    <row r="45">
      <c r="A45" s="132" t="s">
        <v>109</v>
      </c>
      <c r="B45" s="122">
        <v>9.0</v>
      </c>
      <c r="C45" s="122">
        <v>9.0</v>
      </c>
      <c r="D45" s="122">
        <v>9.0</v>
      </c>
      <c r="E45" s="122">
        <v>9.0</v>
      </c>
      <c r="F45" s="122">
        <v>9.0</v>
      </c>
      <c r="G45" s="122">
        <v>45.0</v>
      </c>
      <c r="H45" s="135">
        <v>7200.0</v>
      </c>
      <c r="I45" s="120"/>
      <c r="J45" s="120"/>
      <c r="K45" s="120"/>
      <c r="L45" s="132" t="s">
        <v>110</v>
      </c>
      <c r="M45" s="122">
        <v>3.0</v>
      </c>
      <c r="N45" s="122">
        <v>0.0</v>
      </c>
      <c r="O45" s="122">
        <v>0.0</v>
      </c>
      <c r="P45" s="122">
        <v>0.0</v>
      </c>
      <c r="Q45" s="122">
        <v>2.0</v>
      </c>
      <c r="R45" s="122">
        <v>5.0</v>
      </c>
      <c r="S45" s="135">
        <v>125000.0</v>
      </c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</row>
    <row r="46">
      <c r="A46" s="132" t="s">
        <v>111</v>
      </c>
      <c r="B46" s="122">
        <v>17.0</v>
      </c>
      <c r="C46" s="122">
        <v>12.0</v>
      </c>
      <c r="D46" s="122">
        <v>0.0</v>
      </c>
      <c r="E46" s="122">
        <v>0.0</v>
      </c>
      <c r="F46" s="122">
        <v>0.0</v>
      </c>
      <c r="G46" s="122">
        <v>29.0</v>
      </c>
      <c r="H46" s="135">
        <v>348.0</v>
      </c>
      <c r="I46" s="120"/>
      <c r="J46" s="120"/>
      <c r="K46" s="120"/>
      <c r="L46" s="132" t="s">
        <v>109</v>
      </c>
      <c r="M46" s="122">
        <v>26.0</v>
      </c>
      <c r="N46" s="122">
        <v>4.0</v>
      </c>
      <c r="O46" s="122">
        <v>16.0</v>
      </c>
      <c r="P46" s="122">
        <v>27.0</v>
      </c>
      <c r="Q46" s="122">
        <v>2.0</v>
      </c>
      <c r="R46" s="122">
        <v>75.0</v>
      </c>
      <c r="S46" s="135">
        <v>12000.0</v>
      </c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</row>
    <row r="47">
      <c r="A47" s="132" t="s">
        <v>112</v>
      </c>
      <c r="B47" s="122">
        <v>0.0</v>
      </c>
      <c r="C47" s="122">
        <v>0.0</v>
      </c>
      <c r="D47" s="122">
        <v>11.0</v>
      </c>
      <c r="E47" s="122">
        <v>23.0</v>
      </c>
      <c r="F47" s="122">
        <v>0.0</v>
      </c>
      <c r="G47" s="122">
        <v>34.0</v>
      </c>
      <c r="H47" s="135">
        <v>612.0</v>
      </c>
      <c r="I47" s="120"/>
      <c r="J47" s="120"/>
      <c r="K47" s="120"/>
      <c r="L47" s="132" t="s">
        <v>111</v>
      </c>
      <c r="M47" s="122">
        <v>0.0</v>
      </c>
      <c r="N47" s="122">
        <v>0.0</v>
      </c>
      <c r="O47" s="122">
        <v>0.0</v>
      </c>
      <c r="P47" s="122">
        <v>0.0</v>
      </c>
      <c r="Q47" s="122">
        <v>0.0</v>
      </c>
      <c r="R47" s="122">
        <v>0.0</v>
      </c>
      <c r="S47" s="133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</row>
    <row r="48">
      <c r="A48" s="136" t="s">
        <v>113</v>
      </c>
      <c r="B48" s="137">
        <v>9.0</v>
      </c>
      <c r="C48" s="137">
        <v>15.0</v>
      </c>
      <c r="D48" s="137">
        <v>6.0</v>
      </c>
      <c r="E48" s="137">
        <v>0.0</v>
      </c>
      <c r="F48" s="137">
        <v>0.0</v>
      </c>
      <c r="G48" s="137">
        <v>29.0</v>
      </c>
      <c r="H48" s="138"/>
      <c r="I48" s="120"/>
      <c r="J48" s="120"/>
      <c r="K48" s="120"/>
      <c r="L48" s="132" t="s">
        <v>112</v>
      </c>
      <c r="M48" s="122">
        <v>0.0</v>
      </c>
      <c r="N48" s="122">
        <v>0.0</v>
      </c>
      <c r="O48" s="122">
        <v>0.0</v>
      </c>
      <c r="P48" s="122">
        <v>0.0</v>
      </c>
      <c r="Q48" s="122">
        <v>0.0</v>
      </c>
      <c r="R48" s="122">
        <v>0.0</v>
      </c>
      <c r="S48" s="133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/>
      <c r="AY48" s="120"/>
      <c r="AZ48" s="120"/>
    </row>
    <row r="49">
      <c r="A49" s="120"/>
      <c r="B49" s="120"/>
      <c r="C49" s="120"/>
      <c r="D49" s="120"/>
      <c r="E49" s="120"/>
      <c r="F49" s="120"/>
      <c r="G49" s="120"/>
      <c r="H49" s="139">
        <v>88560.0</v>
      </c>
      <c r="I49" s="120"/>
      <c r="J49" s="120"/>
      <c r="K49" s="120"/>
      <c r="L49" s="136" t="s">
        <v>113</v>
      </c>
      <c r="M49" s="137">
        <v>0.0</v>
      </c>
      <c r="N49" s="137">
        <v>0.0</v>
      </c>
      <c r="O49" s="137">
        <v>0.0</v>
      </c>
      <c r="P49" s="137">
        <v>0.0</v>
      </c>
      <c r="Q49" s="137">
        <v>0.0</v>
      </c>
      <c r="R49" s="137">
        <v>0.0</v>
      </c>
      <c r="S49" s="14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</row>
    <row r="50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39">
        <v>270000.0</v>
      </c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</row>
    <row r="51">
      <c r="A51" s="123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0"/>
      <c r="AX51" s="120"/>
      <c r="AY51" s="120"/>
      <c r="AZ51" s="120"/>
    </row>
    <row r="52">
      <c r="A52" s="124" t="s">
        <v>115</v>
      </c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</row>
    <row r="53">
      <c r="A53" s="123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3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</row>
    <row r="54">
      <c r="A54" s="126" t="s">
        <v>99</v>
      </c>
      <c r="B54" s="127"/>
      <c r="C54" s="127"/>
      <c r="D54" s="127"/>
      <c r="E54" s="127"/>
      <c r="F54" s="127"/>
      <c r="G54" s="127"/>
      <c r="H54" s="127"/>
      <c r="I54" s="127"/>
      <c r="J54" s="128"/>
      <c r="K54" s="120"/>
      <c r="L54" s="126" t="s">
        <v>100</v>
      </c>
      <c r="M54" s="127"/>
      <c r="N54" s="127"/>
      <c r="O54" s="127"/>
      <c r="P54" s="127"/>
      <c r="Q54" s="127"/>
      <c r="R54" s="127"/>
      <c r="S54" s="127"/>
      <c r="T54" s="127"/>
      <c r="U54" s="128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</row>
    <row r="55">
      <c r="A55" s="123"/>
      <c r="B55" s="123"/>
      <c r="C55" s="123"/>
      <c r="D55" s="123"/>
      <c r="E55" s="123"/>
      <c r="F55" s="123"/>
      <c r="G55" s="123"/>
      <c r="H55" s="123"/>
      <c r="I55" s="120"/>
      <c r="J55" s="120"/>
      <c r="K55" s="120"/>
      <c r="L55" s="123"/>
      <c r="M55" s="123"/>
      <c r="N55" s="123"/>
      <c r="O55" s="123"/>
      <c r="P55" s="123"/>
      <c r="Q55" s="123"/>
      <c r="R55" s="123"/>
      <c r="S55" s="123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</row>
    <row r="56">
      <c r="A56" s="123"/>
      <c r="B56" s="123"/>
      <c r="C56" s="123"/>
      <c r="D56" s="123"/>
      <c r="E56" s="123"/>
      <c r="F56" s="123"/>
      <c r="G56" s="123"/>
      <c r="H56" s="120"/>
      <c r="I56" s="120"/>
      <c r="J56" s="120"/>
      <c r="K56" s="120"/>
      <c r="L56" s="123"/>
      <c r="M56" s="123"/>
      <c r="N56" s="123"/>
      <c r="O56" s="123"/>
      <c r="P56" s="123"/>
      <c r="Q56" s="123"/>
      <c r="R56" s="123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0"/>
      <c r="AV56" s="120"/>
      <c r="AW56" s="120"/>
      <c r="AX56" s="120"/>
      <c r="AY56" s="120"/>
      <c r="AZ56" s="120"/>
    </row>
    <row r="57">
      <c r="A57" s="129" t="s">
        <v>14</v>
      </c>
      <c r="B57" s="130">
        <v>21.0</v>
      </c>
      <c r="C57" s="130">
        <v>22.0</v>
      </c>
      <c r="D57" s="130">
        <v>23.0</v>
      </c>
      <c r="E57" s="130">
        <v>24.0</v>
      </c>
      <c r="F57" s="130">
        <v>25.0</v>
      </c>
      <c r="G57" s="130" t="s">
        <v>23</v>
      </c>
      <c r="H57" s="131" t="s">
        <v>101</v>
      </c>
      <c r="I57" s="120"/>
      <c r="J57" s="120"/>
      <c r="K57" s="120"/>
      <c r="L57" s="129" t="s">
        <v>14</v>
      </c>
      <c r="M57" s="130">
        <v>21.0</v>
      </c>
      <c r="N57" s="130">
        <v>22.0</v>
      </c>
      <c r="O57" s="130">
        <v>23.0</v>
      </c>
      <c r="P57" s="130">
        <v>24.0</v>
      </c>
      <c r="Q57" s="130">
        <v>25.0</v>
      </c>
      <c r="R57" s="130" t="s">
        <v>23</v>
      </c>
      <c r="S57" s="131" t="s">
        <v>101</v>
      </c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  <c r="AY57" s="120"/>
      <c r="AZ57" s="120"/>
    </row>
    <row r="58">
      <c r="A58" s="132" t="s">
        <v>102</v>
      </c>
      <c r="B58" s="122">
        <v>0.0</v>
      </c>
      <c r="C58" s="122">
        <v>0.0</v>
      </c>
      <c r="D58" s="122">
        <v>0.0</v>
      </c>
      <c r="E58" s="122">
        <v>0.0</v>
      </c>
      <c r="F58" s="122">
        <v>28.0</v>
      </c>
      <c r="G58" s="122">
        <v>28.0</v>
      </c>
      <c r="H58" s="133"/>
      <c r="I58" s="120"/>
      <c r="J58" s="120"/>
      <c r="K58" s="120"/>
      <c r="L58" s="132" t="s">
        <v>102</v>
      </c>
      <c r="M58" s="122">
        <v>0.0</v>
      </c>
      <c r="N58" s="122">
        <v>0.0</v>
      </c>
      <c r="O58" s="122">
        <v>0.0</v>
      </c>
      <c r="P58" s="122">
        <v>0.0</v>
      </c>
      <c r="Q58" s="122">
        <v>0.0</v>
      </c>
      <c r="R58" s="122">
        <v>0.0</v>
      </c>
      <c r="S58" s="133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20"/>
      <c r="AU58" s="120"/>
      <c r="AV58" s="120"/>
      <c r="AW58" s="120"/>
      <c r="AX58" s="120"/>
      <c r="AY58" s="120"/>
      <c r="AZ58" s="120"/>
    </row>
    <row r="59">
      <c r="A59" s="132" t="s">
        <v>103</v>
      </c>
      <c r="B59" s="122">
        <v>120.0</v>
      </c>
      <c r="C59" s="122">
        <v>120.0</v>
      </c>
      <c r="D59" s="122">
        <v>120.0</v>
      </c>
      <c r="E59" s="122">
        <v>120.0</v>
      </c>
      <c r="F59" s="122">
        <v>120.0</v>
      </c>
      <c r="G59" s="122">
        <v>600.0</v>
      </c>
      <c r="H59" s="133"/>
      <c r="I59" s="120"/>
      <c r="J59" s="120"/>
      <c r="K59" s="120"/>
      <c r="L59" s="132" t="s">
        <v>103</v>
      </c>
      <c r="M59" s="122">
        <v>150.0</v>
      </c>
      <c r="N59" s="122">
        <v>120.0</v>
      </c>
      <c r="O59" s="122">
        <v>90.0</v>
      </c>
      <c r="P59" s="122">
        <v>90.0</v>
      </c>
      <c r="Q59" s="122">
        <v>150.0</v>
      </c>
      <c r="R59" s="122">
        <v>600.0</v>
      </c>
      <c r="S59" s="133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20"/>
      <c r="AU59" s="120"/>
      <c r="AV59" s="120"/>
      <c r="AW59" s="120"/>
      <c r="AX59" s="120"/>
      <c r="AY59" s="120"/>
      <c r="AZ59" s="120"/>
    </row>
    <row r="60">
      <c r="A60" s="132" t="s">
        <v>104</v>
      </c>
      <c r="B60" s="122">
        <v>102.0</v>
      </c>
      <c r="C60" s="122">
        <v>102.0</v>
      </c>
      <c r="D60" s="122">
        <v>102.0</v>
      </c>
      <c r="E60" s="122">
        <v>102.0</v>
      </c>
      <c r="F60" s="122">
        <v>102.0</v>
      </c>
      <c r="G60" s="122">
        <v>510.0</v>
      </c>
      <c r="H60" s="135">
        <v>12750.0</v>
      </c>
      <c r="I60" s="120"/>
      <c r="J60" s="120"/>
      <c r="K60" s="120"/>
      <c r="L60" s="132" t="s">
        <v>104</v>
      </c>
      <c r="M60" s="122">
        <v>124.0</v>
      </c>
      <c r="N60" s="122">
        <v>97.0</v>
      </c>
      <c r="O60" s="122">
        <v>87.0</v>
      </c>
      <c r="P60" s="122">
        <v>74.0</v>
      </c>
      <c r="Q60" s="122">
        <v>128.0</v>
      </c>
      <c r="R60" s="122">
        <v>510.0</v>
      </c>
      <c r="S60" s="135">
        <v>12750.0</v>
      </c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0"/>
      <c r="AU60" s="120"/>
      <c r="AV60" s="120"/>
      <c r="AW60" s="120"/>
      <c r="AX60" s="120"/>
      <c r="AY60" s="120"/>
      <c r="AZ60" s="120"/>
    </row>
    <row r="61">
      <c r="A61" s="132" t="s">
        <v>105</v>
      </c>
      <c r="B61" s="122">
        <v>124.0</v>
      </c>
      <c r="C61" s="122">
        <v>97.0</v>
      </c>
      <c r="D61" s="122">
        <v>87.0</v>
      </c>
      <c r="E61" s="122">
        <v>74.0</v>
      </c>
      <c r="F61" s="122">
        <v>128.0</v>
      </c>
      <c r="G61" s="122">
        <v>510.0</v>
      </c>
      <c r="H61" s="133"/>
      <c r="I61" s="120"/>
      <c r="J61" s="120"/>
      <c r="K61" s="120"/>
      <c r="L61" s="132" t="s">
        <v>105</v>
      </c>
      <c r="M61" s="122">
        <v>124.0</v>
      </c>
      <c r="N61" s="122">
        <v>97.0</v>
      </c>
      <c r="O61" s="122">
        <v>87.0</v>
      </c>
      <c r="P61" s="122">
        <v>74.0</v>
      </c>
      <c r="Q61" s="122">
        <v>128.0</v>
      </c>
      <c r="R61" s="122">
        <v>510.0</v>
      </c>
      <c r="S61" s="133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0"/>
      <c r="AU61" s="120"/>
      <c r="AV61" s="120"/>
      <c r="AW61" s="120"/>
      <c r="AX61" s="120"/>
      <c r="AY61" s="120"/>
      <c r="AZ61" s="120"/>
    </row>
    <row r="62">
      <c r="A62" s="132" t="s">
        <v>106</v>
      </c>
      <c r="B62" s="122">
        <v>4.0</v>
      </c>
      <c r="C62" s="122">
        <v>4.0</v>
      </c>
      <c r="D62" s="122">
        <v>4.0</v>
      </c>
      <c r="E62" s="122">
        <v>4.0</v>
      </c>
      <c r="F62" s="122">
        <v>4.0</v>
      </c>
      <c r="G62" s="122">
        <v>20.0</v>
      </c>
      <c r="H62" s="133"/>
      <c r="I62" s="120"/>
      <c r="J62" s="120"/>
      <c r="K62" s="120"/>
      <c r="L62" s="132" t="s">
        <v>106</v>
      </c>
      <c r="M62" s="122">
        <v>5.0</v>
      </c>
      <c r="N62" s="122">
        <v>4.0</v>
      </c>
      <c r="O62" s="122">
        <v>3.0</v>
      </c>
      <c r="P62" s="122">
        <v>3.0</v>
      </c>
      <c r="Q62" s="122">
        <v>5.0</v>
      </c>
      <c r="R62" s="122">
        <v>20.0</v>
      </c>
      <c r="S62" s="134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0"/>
      <c r="AT62" s="120"/>
      <c r="AU62" s="120"/>
      <c r="AV62" s="120"/>
      <c r="AW62" s="120"/>
      <c r="AX62" s="120"/>
      <c r="AY62" s="120"/>
      <c r="AZ62" s="120"/>
    </row>
    <row r="63">
      <c r="A63" s="132" t="s">
        <v>107</v>
      </c>
      <c r="B63" s="122">
        <v>10.0</v>
      </c>
      <c r="C63" s="123"/>
      <c r="D63" s="123"/>
      <c r="E63" s="123"/>
      <c r="F63" s="123"/>
      <c r="G63" s="123"/>
      <c r="H63" s="134"/>
      <c r="I63" s="120"/>
      <c r="J63" s="120"/>
      <c r="K63" s="120"/>
      <c r="L63" s="132" t="s">
        <v>107</v>
      </c>
      <c r="M63" s="122">
        <v>10.0</v>
      </c>
      <c r="N63" s="122">
        <v>5.0</v>
      </c>
      <c r="O63" s="122">
        <v>4.0</v>
      </c>
      <c r="P63" s="122">
        <v>3.0</v>
      </c>
      <c r="Q63" s="122">
        <v>3.0</v>
      </c>
      <c r="R63" s="122">
        <v>25.0</v>
      </c>
      <c r="S63" s="134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20"/>
      <c r="AU63" s="120"/>
      <c r="AV63" s="120"/>
      <c r="AW63" s="120"/>
      <c r="AX63" s="120"/>
      <c r="AY63" s="120"/>
      <c r="AZ63" s="120"/>
    </row>
    <row r="64">
      <c r="A64" s="132" t="s">
        <v>108</v>
      </c>
      <c r="B64" s="122">
        <v>0.0</v>
      </c>
      <c r="C64" s="122">
        <v>0.0</v>
      </c>
      <c r="D64" s="122">
        <v>0.0</v>
      </c>
      <c r="E64" s="122">
        <v>0.0</v>
      </c>
      <c r="F64" s="122">
        <v>0.0</v>
      </c>
      <c r="G64" s="122">
        <v>0.0</v>
      </c>
      <c r="H64" s="134"/>
      <c r="I64" s="120"/>
      <c r="J64" s="120"/>
      <c r="K64" s="120"/>
      <c r="L64" s="132" t="s">
        <v>108</v>
      </c>
      <c r="M64" s="122">
        <v>0.0</v>
      </c>
      <c r="N64" s="122">
        <v>0.0</v>
      </c>
      <c r="O64" s="122">
        <v>0.0</v>
      </c>
      <c r="P64" s="122">
        <v>0.0</v>
      </c>
      <c r="Q64" s="122">
        <v>2.0</v>
      </c>
      <c r="R64" s="122">
        <v>2.0</v>
      </c>
      <c r="S64" s="135">
        <v>24000.0</v>
      </c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20"/>
      <c r="AU64" s="120"/>
      <c r="AV64" s="120"/>
      <c r="AW64" s="120"/>
      <c r="AX64" s="120"/>
      <c r="AY64" s="120"/>
      <c r="AZ64" s="120"/>
    </row>
    <row r="65">
      <c r="A65" s="132" t="s">
        <v>109</v>
      </c>
      <c r="B65" s="122">
        <v>18.0</v>
      </c>
      <c r="C65" s="122">
        <v>18.0</v>
      </c>
      <c r="D65" s="122">
        <v>18.0</v>
      </c>
      <c r="E65" s="122">
        <v>18.0</v>
      </c>
      <c r="F65" s="122">
        <v>18.0</v>
      </c>
      <c r="G65" s="122">
        <v>90.0</v>
      </c>
      <c r="H65" s="135">
        <v>14400.0</v>
      </c>
      <c r="I65" s="120"/>
      <c r="J65" s="120"/>
      <c r="K65" s="120"/>
      <c r="L65" s="132" t="s">
        <v>110</v>
      </c>
      <c r="M65" s="122">
        <v>5.0</v>
      </c>
      <c r="N65" s="122">
        <v>1.0</v>
      </c>
      <c r="O65" s="122">
        <v>1.0</v>
      </c>
      <c r="P65" s="122">
        <v>0.0</v>
      </c>
      <c r="Q65" s="122">
        <v>0.0</v>
      </c>
      <c r="R65" s="122">
        <v>7.0</v>
      </c>
      <c r="S65" s="135">
        <v>175000.0</v>
      </c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20"/>
      <c r="AU65" s="120"/>
      <c r="AV65" s="120"/>
      <c r="AW65" s="120"/>
      <c r="AX65" s="120"/>
      <c r="AY65" s="120"/>
      <c r="AZ65" s="120"/>
    </row>
    <row r="66">
      <c r="A66" s="132" t="s">
        <v>111</v>
      </c>
      <c r="B66" s="122">
        <v>0.0</v>
      </c>
      <c r="C66" s="122">
        <v>0.0</v>
      </c>
      <c r="D66" s="122">
        <v>11.0</v>
      </c>
      <c r="E66" s="122">
        <v>28.0</v>
      </c>
      <c r="F66" s="122">
        <v>2.0</v>
      </c>
      <c r="G66" s="122">
        <v>41.0</v>
      </c>
      <c r="H66" s="135">
        <v>471.5</v>
      </c>
      <c r="I66" s="120"/>
      <c r="J66" s="120"/>
      <c r="K66" s="120"/>
      <c r="L66" s="132" t="s">
        <v>109</v>
      </c>
      <c r="M66" s="122">
        <v>26.0</v>
      </c>
      <c r="N66" s="122">
        <v>23.0</v>
      </c>
      <c r="O66" s="122">
        <v>3.0</v>
      </c>
      <c r="P66" s="122">
        <v>16.0</v>
      </c>
      <c r="Q66" s="122">
        <v>22.0</v>
      </c>
      <c r="R66" s="122">
        <v>90.0</v>
      </c>
      <c r="S66" s="135">
        <v>14400.0</v>
      </c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20"/>
      <c r="AU66" s="120"/>
      <c r="AV66" s="120"/>
      <c r="AW66" s="120"/>
      <c r="AX66" s="120"/>
      <c r="AY66" s="120"/>
      <c r="AZ66" s="120"/>
    </row>
    <row r="67">
      <c r="A67" s="132" t="s">
        <v>112</v>
      </c>
      <c r="B67" s="122">
        <v>22.0</v>
      </c>
      <c r="C67" s="122">
        <v>4.0</v>
      </c>
      <c r="D67" s="122">
        <v>0.0</v>
      </c>
      <c r="E67" s="122">
        <v>0.0</v>
      </c>
      <c r="F67" s="122">
        <v>0.0</v>
      </c>
      <c r="G67" s="122">
        <v>26.0</v>
      </c>
      <c r="H67" s="135">
        <v>260.0</v>
      </c>
      <c r="I67" s="120"/>
      <c r="J67" s="120"/>
      <c r="K67" s="120"/>
      <c r="L67" s="132" t="s">
        <v>111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34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0"/>
      <c r="AT67" s="120"/>
      <c r="AU67" s="120"/>
      <c r="AV67" s="120"/>
      <c r="AW67" s="120"/>
      <c r="AX67" s="120"/>
      <c r="AY67" s="120"/>
      <c r="AZ67" s="120"/>
    </row>
    <row r="68">
      <c r="A68" s="136" t="s">
        <v>113</v>
      </c>
      <c r="B68" s="137">
        <v>0.0</v>
      </c>
      <c r="C68" s="137">
        <v>0.0</v>
      </c>
      <c r="D68" s="137">
        <v>0.0</v>
      </c>
      <c r="E68" s="137">
        <v>0.0</v>
      </c>
      <c r="F68" s="137">
        <v>9.0</v>
      </c>
      <c r="G68" s="137">
        <v>9.0</v>
      </c>
      <c r="H68" s="138"/>
      <c r="I68" s="120"/>
      <c r="J68" s="120"/>
      <c r="K68" s="120"/>
      <c r="L68" s="132" t="s">
        <v>112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33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0"/>
      <c r="AT68" s="120"/>
      <c r="AU68" s="120"/>
      <c r="AV68" s="120"/>
      <c r="AW68" s="120"/>
      <c r="AX68" s="120"/>
      <c r="AY68" s="120"/>
      <c r="AZ68" s="120"/>
    </row>
    <row r="69">
      <c r="A69" s="120"/>
      <c r="B69" s="120"/>
      <c r="C69" s="120"/>
      <c r="D69" s="120"/>
      <c r="E69" s="120"/>
      <c r="F69" s="120"/>
      <c r="G69" s="120"/>
      <c r="H69" s="139">
        <v>27881.5</v>
      </c>
      <c r="I69" s="120"/>
      <c r="J69" s="120"/>
      <c r="K69" s="120"/>
      <c r="L69" s="136" t="s">
        <v>113</v>
      </c>
      <c r="M69" s="137">
        <v>0.0</v>
      </c>
      <c r="N69" s="137">
        <v>0.0</v>
      </c>
      <c r="O69" s="137">
        <v>0.0</v>
      </c>
      <c r="P69" s="137">
        <v>0.0</v>
      </c>
      <c r="Q69" s="137">
        <v>0.0</v>
      </c>
      <c r="R69" s="137">
        <v>0.0</v>
      </c>
      <c r="S69" s="138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20"/>
      <c r="AS69" s="120"/>
      <c r="AT69" s="120"/>
      <c r="AU69" s="120"/>
      <c r="AV69" s="120"/>
      <c r="AW69" s="120"/>
      <c r="AX69" s="120"/>
      <c r="AY69" s="120"/>
      <c r="AZ69" s="120"/>
    </row>
    <row r="70">
      <c r="A70" s="123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39">
        <v>226150.0</v>
      </c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  <c r="AP70" s="120"/>
      <c r="AQ70" s="120"/>
      <c r="AR70" s="120"/>
      <c r="AS70" s="120"/>
      <c r="AT70" s="120"/>
      <c r="AU70" s="120"/>
      <c r="AV70" s="120"/>
      <c r="AW70" s="120"/>
      <c r="AX70" s="120"/>
      <c r="AY70" s="120"/>
      <c r="AZ70" s="120"/>
    </row>
    <row r="7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20"/>
      <c r="AU71" s="120"/>
      <c r="AV71" s="120"/>
      <c r="AW71" s="120"/>
      <c r="AX71" s="120"/>
      <c r="AY71" s="120"/>
      <c r="AZ71" s="120"/>
    </row>
    <row r="72">
      <c r="A72" s="124" t="s">
        <v>116</v>
      </c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41"/>
      <c r="M72" s="125"/>
      <c r="N72" s="125"/>
      <c r="O72" s="125"/>
      <c r="P72" s="125"/>
      <c r="Q72" s="125"/>
      <c r="R72" s="125"/>
      <c r="S72" s="125"/>
      <c r="T72" s="125"/>
      <c r="U72" s="125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  <c r="AP72" s="120"/>
      <c r="AQ72" s="120"/>
      <c r="AR72" s="120"/>
      <c r="AS72" s="120"/>
      <c r="AT72" s="120"/>
      <c r="AU72" s="120"/>
      <c r="AV72" s="120"/>
      <c r="AW72" s="120"/>
      <c r="AX72" s="120"/>
      <c r="AY72" s="120"/>
      <c r="AZ72" s="120"/>
    </row>
    <row r="73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20"/>
      <c r="AU73" s="120"/>
      <c r="AV73" s="120"/>
      <c r="AW73" s="120"/>
      <c r="AX73" s="120"/>
      <c r="AY73" s="120"/>
      <c r="AZ73" s="120"/>
    </row>
    <row r="74">
      <c r="A74" s="126" t="s">
        <v>99</v>
      </c>
      <c r="B74" s="142"/>
      <c r="C74" s="142"/>
      <c r="D74" s="142"/>
      <c r="E74" s="142"/>
      <c r="F74" s="142"/>
      <c r="G74" s="142"/>
      <c r="H74" s="142"/>
      <c r="I74" s="127"/>
      <c r="J74" s="128"/>
      <c r="K74" s="120"/>
      <c r="L74" s="126" t="s">
        <v>100</v>
      </c>
      <c r="M74" s="142"/>
      <c r="N74" s="142"/>
      <c r="O74" s="142"/>
      <c r="P74" s="142"/>
      <c r="Q74" s="142"/>
      <c r="R74" s="142"/>
      <c r="S74" s="142"/>
      <c r="T74" s="127"/>
      <c r="U74" s="128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  <c r="AP74" s="120"/>
      <c r="AQ74" s="120"/>
      <c r="AR74" s="120"/>
      <c r="AS74" s="120"/>
      <c r="AT74" s="120"/>
      <c r="AU74" s="120"/>
      <c r="AV74" s="120"/>
      <c r="AW74" s="120"/>
      <c r="AX74" s="120"/>
      <c r="AY74" s="120"/>
      <c r="AZ74" s="120"/>
    </row>
    <row r="75">
      <c r="A75" s="123"/>
      <c r="B75" s="123"/>
      <c r="C75" s="123"/>
      <c r="D75" s="123"/>
      <c r="E75" s="123"/>
      <c r="F75" s="123"/>
      <c r="G75" s="123"/>
      <c r="H75" s="120"/>
      <c r="I75" s="120"/>
      <c r="J75" s="120"/>
      <c r="K75" s="120"/>
      <c r="L75" s="123"/>
      <c r="M75" s="123"/>
      <c r="N75" s="123"/>
      <c r="O75" s="123"/>
      <c r="P75" s="123"/>
      <c r="Q75" s="123"/>
      <c r="R75" s="123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  <c r="AV75" s="120"/>
      <c r="AW75" s="120"/>
      <c r="AX75" s="120"/>
      <c r="AY75" s="120"/>
      <c r="AZ75" s="120"/>
    </row>
    <row r="76">
      <c r="A76" s="129" t="s">
        <v>14</v>
      </c>
      <c r="B76" s="130">
        <v>21.0</v>
      </c>
      <c r="C76" s="130">
        <v>22.0</v>
      </c>
      <c r="D76" s="130">
        <v>23.0</v>
      </c>
      <c r="E76" s="130">
        <v>24.0</v>
      </c>
      <c r="F76" s="130">
        <v>25.0</v>
      </c>
      <c r="G76" s="130" t="s">
        <v>23</v>
      </c>
      <c r="H76" s="131" t="s">
        <v>101</v>
      </c>
      <c r="I76" s="120"/>
      <c r="J76" s="120"/>
      <c r="K76" s="120"/>
      <c r="L76" s="129" t="s">
        <v>14</v>
      </c>
      <c r="M76" s="130">
        <v>21.0</v>
      </c>
      <c r="N76" s="130">
        <v>22.0</v>
      </c>
      <c r="O76" s="130">
        <v>23.0</v>
      </c>
      <c r="P76" s="130">
        <v>24.0</v>
      </c>
      <c r="Q76" s="130">
        <v>25.0</v>
      </c>
      <c r="R76" s="130" t="s">
        <v>23</v>
      </c>
      <c r="S76" s="131" t="s">
        <v>101</v>
      </c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  <c r="AS76" s="120"/>
      <c r="AT76" s="120"/>
      <c r="AU76" s="120"/>
      <c r="AV76" s="120"/>
      <c r="AW76" s="120"/>
      <c r="AX76" s="120"/>
      <c r="AY76" s="120"/>
      <c r="AZ76" s="120"/>
    </row>
    <row r="77">
      <c r="A77" s="132" t="s">
        <v>102</v>
      </c>
      <c r="B77" s="122">
        <v>0.0</v>
      </c>
      <c r="C77" s="122">
        <v>6.0</v>
      </c>
      <c r="D77" s="122">
        <v>9.0</v>
      </c>
      <c r="E77" s="122">
        <v>9.0</v>
      </c>
      <c r="F77" s="122">
        <v>6.0</v>
      </c>
      <c r="G77" s="122">
        <v>30.0</v>
      </c>
      <c r="H77" s="133"/>
      <c r="I77" s="120"/>
      <c r="J77" s="120"/>
      <c r="K77" s="120"/>
      <c r="L77" s="132" t="s">
        <v>102</v>
      </c>
      <c r="M77" s="122">
        <v>0.0</v>
      </c>
      <c r="N77" s="122">
        <v>0.0</v>
      </c>
      <c r="O77" s="122">
        <v>0.0</v>
      </c>
      <c r="P77" s="122">
        <v>0.0</v>
      </c>
      <c r="Q77" s="122">
        <v>0.0</v>
      </c>
      <c r="R77" s="122">
        <v>0.0</v>
      </c>
      <c r="S77" s="133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0"/>
      <c r="AT77" s="120"/>
      <c r="AU77" s="120"/>
      <c r="AV77" s="120"/>
      <c r="AW77" s="120"/>
      <c r="AX77" s="120"/>
      <c r="AY77" s="120"/>
      <c r="AZ77" s="120"/>
    </row>
    <row r="78">
      <c r="A78" s="132" t="s">
        <v>103</v>
      </c>
      <c r="B78" s="122">
        <v>90.0</v>
      </c>
      <c r="C78" s="122">
        <v>90.0</v>
      </c>
      <c r="D78" s="122">
        <v>90.0</v>
      </c>
      <c r="E78" s="122">
        <v>90.0</v>
      </c>
      <c r="F78" s="122">
        <v>90.0</v>
      </c>
      <c r="G78" s="122">
        <v>450.0</v>
      </c>
      <c r="H78" s="133"/>
      <c r="I78" s="120"/>
      <c r="J78" s="120"/>
      <c r="K78" s="120"/>
      <c r="L78" s="132" t="s">
        <v>103</v>
      </c>
      <c r="M78" s="122">
        <v>90.0</v>
      </c>
      <c r="N78" s="122">
        <v>90.0</v>
      </c>
      <c r="O78" s="122">
        <v>90.0</v>
      </c>
      <c r="P78" s="122">
        <v>120.0</v>
      </c>
      <c r="Q78" s="122">
        <v>120.0</v>
      </c>
      <c r="R78" s="122">
        <v>510.0</v>
      </c>
      <c r="S78" s="133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0"/>
      <c r="AT78" s="120"/>
      <c r="AU78" s="120"/>
      <c r="AV78" s="120"/>
      <c r="AW78" s="120"/>
      <c r="AX78" s="120"/>
      <c r="AY78" s="120"/>
      <c r="AZ78" s="120"/>
    </row>
    <row r="79">
      <c r="A79" s="132" t="s">
        <v>104</v>
      </c>
      <c r="B79" s="122">
        <v>88.0</v>
      </c>
      <c r="C79" s="122">
        <v>88.0</v>
      </c>
      <c r="D79" s="122">
        <v>88.0</v>
      </c>
      <c r="E79" s="122">
        <v>88.0</v>
      </c>
      <c r="F79" s="122">
        <v>88.0</v>
      </c>
      <c r="G79" s="122">
        <v>440.0</v>
      </c>
      <c r="H79" s="135">
        <v>66000.0</v>
      </c>
      <c r="I79" s="120"/>
      <c r="J79" s="120"/>
      <c r="K79" s="120"/>
      <c r="L79" s="132" t="s">
        <v>104</v>
      </c>
      <c r="M79" s="122">
        <v>82.0</v>
      </c>
      <c r="N79" s="122">
        <v>85.0</v>
      </c>
      <c r="O79" s="122">
        <v>88.0</v>
      </c>
      <c r="P79" s="122">
        <v>91.0</v>
      </c>
      <c r="Q79" s="122">
        <v>94.0</v>
      </c>
      <c r="R79" s="122">
        <v>440.0</v>
      </c>
      <c r="S79" s="135">
        <v>66000.0</v>
      </c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120"/>
      <c r="AT79" s="120"/>
      <c r="AU79" s="120"/>
      <c r="AV79" s="120"/>
      <c r="AW79" s="120"/>
      <c r="AX79" s="120"/>
      <c r="AY79" s="120"/>
      <c r="AZ79" s="120"/>
    </row>
    <row r="80">
      <c r="A80" s="132" t="s">
        <v>105</v>
      </c>
      <c r="B80" s="122">
        <v>82.0</v>
      </c>
      <c r="C80" s="122">
        <v>85.0</v>
      </c>
      <c r="D80" s="122">
        <v>88.0</v>
      </c>
      <c r="E80" s="122">
        <v>91.0</v>
      </c>
      <c r="F80" s="122">
        <v>94.0</v>
      </c>
      <c r="G80" s="122">
        <v>440.0</v>
      </c>
      <c r="H80" s="133"/>
      <c r="I80" s="120"/>
      <c r="J80" s="120"/>
      <c r="K80" s="120"/>
      <c r="L80" s="132" t="s">
        <v>105</v>
      </c>
      <c r="M80" s="122">
        <v>82.0</v>
      </c>
      <c r="N80" s="122">
        <v>85.0</v>
      </c>
      <c r="O80" s="122">
        <v>88.0</v>
      </c>
      <c r="P80" s="122">
        <v>91.0</v>
      </c>
      <c r="Q80" s="122">
        <v>94.0</v>
      </c>
      <c r="R80" s="122">
        <v>440.0</v>
      </c>
      <c r="S80" s="133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120"/>
      <c r="AU80" s="120"/>
      <c r="AV80" s="120"/>
      <c r="AW80" s="120"/>
      <c r="AX80" s="120"/>
      <c r="AY80" s="120"/>
      <c r="AZ80" s="120"/>
    </row>
    <row r="81">
      <c r="A81" s="132" t="s">
        <v>106</v>
      </c>
      <c r="B81" s="122">
        <v>3.0</v>
      </c>
      <c r="C81" s="122">
        <v>3.0</v>
      </c>
      <c r="D81" s="122">
        <v>3.0</v>
      </c>
      <c r="E81" s="122">
        <v>3.0</v>
      </c>
      <c r="F81" s="122">
        <v>3.0</v>
      </c>
      <c r="G81" s="122">
        <v>15.0</v>
      </c>
      <c r="H81" s="133"/>
      <c r="I81" s="120"/>
      <c r="J81" s="120"/>
      <c r="K81" s="120"/>
      <c r="L81" s="132" t="s">
        <v>106</v>
      </c>
      <c r="M81" s="122">
        <v>3.0</v>
      </c>
      <c r="N81" s="122">
        <v>3.0</v>
      </c>
      <c r="O81" s="122">
        <v>3.0</v>
      </c>
      <c r="P81" s="122">
        <v>4.0</v>
      </c>
      <c r="Q81" s="122">
        <v>4.0</v>
      </c>
      <c r="R81" s="122">
        <v>17.0</v>
      </c>
      <c r="S81" s="134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  <c r="AO81" s="120"/>
      <c r="AP81" s="120"/>
      <c r="AQ81" s="120"/>
      <c r="AR81" s="120"/>
      <c r="AS81" s="120"/>
      <c r="AT81" s="120"/>
      <c r="AU81" s="120"/>
      <c r="AV81" s="120"/>
      <c r="AW81" s="120"/>
      <c r="AX81" s="120"/>
      <c r="AY81" s="120"/>
      <c r="AZ81" s="120"/>
    </row>
    <row r="82">
      <c r="A82" s="132" t="s">
        <v>107</v>
      </c>
      <c r="B82" s="122">
        <v>10.0</v>
      </c>
      <c r="C82" s="123"/>
      <c r="D82" s="123"/>
      <c r="E82" s="123"/>
      <c r="F82" s="123"/>
      <c r="G82" s="123"/>
      <c r="H82" s="134"/>
      <c r="I82" s="120"/>
      <c r="J82" s="120"/>
      <c r="K82" s="120"/>
      <c r="L82" s="132" t="s">
        <v>107</v>
      </c>
      <c r="M82" s="122">
        <v>10.0</v>
      </c>
      <c r="N82" s="123"/>
      <c r="O82" s="123"/>
      <c r="P82" s="123"/>
      <c r="Q82" s="123"/>
      <c r="R82" s="123"/>
      <c r="S82" s="134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  <c r="AO82" s="120"/>
      <c r="AP82" s="120"/>
      <c r="AQ82" s="120"/>
      <c r="AR82" s="120"/>
      <c r="AS82" s="120"/>
      <c r="AT82" s="120"/>
      <c r="AU82" s="120"/>
      <c r="AV82" s="120"/>
      <c r="AW82" s="120"/>
      <c r="AX82" s="120"/>
      <c r="AY82" s="120"/>
      <c r="AZ82" s="120"/>
    </row>
    <row r="83">
      <c r="A83" s="132" t="s">
        <v>108</v>
      </c>
      <c r="B83" s="122">
        <v>0.0</v>
      </c>
      <c r="C83" s="122">
        <v>0.0</v>
      </c>
      <c r="D83" s="122">
        <v>0.0</v>
      </c>
      <c r="E83" s="122">
        <v>0.0</v>
      </c>
      <c r="F83" s="122">
        <v>0.0</v>
      </c>
      <c r="G83" s="122">
        <v>0.0</v>
      </c>
      <c r="H83" s="134"/>
      <c r="I83" s="120"/>
      <c r="J83" s="120"/>
      <c r="K83" s="120"/>
      <c r="L83" s="132" t="s">
        <v>108</v>
      </c>
      <c r="M83" s="122">
        <v>0.0</v>
      </c>
      <c r="N83" s="122">
        <v>0.0</v>
      </c>
      <c r="O83" s="122">
        <v>0.0</v>
      </c>
      <c r="P83" s="122">
        <v>1.0</v>
      </c>
      <c r="Q83" s="122">
        <v>0.0</v>
      </c>
      <c r="R83" s="122">
        <v>1.0</v>
      </c>
      <c r="S83" s="135">
        <v>12000.0</v>
      </c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0"/>
      <c r="AT83" s="120"/>
      <c r="AU83" s="120"/>
      <c r="AV83" s="120"/>
      <c r="AW83" s="120"/>
      <c r="AX83" s="120"/>
      <c r="AY83" s="120"/>
      <c r="AZ83" s="120"/>
    </row>
    <row r="84">
      <c r="A84" s="132" t="s">
        <v>109</v>
      </c>
      <c r="B84" s="122">
        <v>2.0</v>
      </c>
      <c r="C84" s="122">
        <v>2.0</v>
      </c>
      <c r="D84" s="122">
        <v>2.0</v>
      </c>
      <c r="E84" s="122">
        <v>2.0</v>
      </c>
      <c r="F84" s="122">
        <v>2.0</v>
      </c>
      <c r="G84" s="122">
        <v>10.0</v>
      </c>
      <c r="H84" s="135">
        <v>1600.0</v>
      </c>
      <c r="I84" s="120"/>
      <c r="J84" s="120"/>
      <c r="K84" s="120"/>
      <c r="L84" s="132" t="s">
        <v>110</v>
      </c>
      <c r="M84" s="122">
        <v>7.0</v>
      </c>
      <c r="N84" s="122">
        <v>0.0</v>
      </c>
      <c r="O84" s="122">
        <v>0.0</v>
      </c>
      <c r="P84" s="122">
        <v>0.0</v>
      </c>
      <c r="Q84" s="122">
        <v>0.0</v>
      </c>
      <c r="R84" s="122">
        <v>7.0</v>
      </c>
      <c r="S84" s="135">
        <v>175000.0</v>
      </c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0"/>
      <c r="AT84" s="120"/>
      <c r="AU84" s="120"/>
      <c r="AV84" s="120"/>
      <c r="AW84" s="120"/>
      <c r="AX84" s="120"/>
      <c r="AY84" s="120"/>
      <c r="AZ84" s="120"/>
    </row>
    <row r="85">
      <c r="A85" s="132" t="s">
        <v>111</v>
      </c>
      <c r="B85" s="122">
        <v>6.0</v>
      </c>
      <c r="C85" s="122">
        <v>9.0</v>
      </c>
      <c r="D85" s="122">
        <v>9.0</v>
      </c>
      <c r="E85" s="122">
        <v>6.0</v>
      </c>
      <c r="F85" s="122">
        <v>0.0</v>
      </c>
      <c r="G85" s="122">
        <v>30.0</v>
      </c>
      <c r="H85" s="135">
        <v>600.0</v>
      </c>
      <c r="I85" s="120"/>
      <c r="J85" s="120"/>
      <c r="K85" s="120"/>
      <c r="L85" s="132" t="s">
        <v>109</v>
      </c>
      <c r="M85" s="122">
        <v>8.0</v>
      </c>
      <c r="N85" s="122">
        <v>5.0</v>
      </c>
      <c r="O85" s="122">
        <v>2.0</v>
      </c>
      <c r="P85" s="122">
        <v>29.0</v>
      </c>
      <c r="Q85" s="122">
        <v>26.0</v>
      </c>
      <c r="R85" s="122">
        <v>70.0</v>
      </c>
      <c r="S85" s="135">
        <v>140.0</v>
      </c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  <c r="AS85" s="120"/>
      <c r="AT85" s="120"/>
      <c r="AU85" s="120"/>
      <c r="AV85" s="120"/>
      <c r="AW85" s="120"/>
      <c r="AX85" s="120"/>
      <c r="AY85" s="120"/>
      <c r="AZ85" s="120"/>
    </row>
    <row r="86">
      <c r="A86" s="132" t="s">
        <v>112</v>
      </c>
      <c r="B86" s="122">
        <v>0.0</v>
      </c>
      <c r="C86" s="122">
        <v>0.0</v>
      </c>
      <c r="D86" s="122">
        <v>0.0</v>
      </c>
      <c r="E86" s="122">
        <v>0.0</v>
      </c>
      <c r="F86" s="122">
        <v>0.0</v>
      </c>
      <c r="G86" s="122">
        <v>0.0</v>
      </c>
      <c r="H86" s="135">
        <v>0.0</v>
      </c>
      <c r="I86" s="120"/>
      <c r="J86" s="120"/>
      <c r="K86" s="120"/>
      <c r="L86" s="132" t="s">
        <v>111</v>
      </c>
      <c r="M86" s="122">
        <v>0.0</v>
      </c>
      <c r="N86" s="122">
        <v>0.0</v>
      </c>
      <c r="O86" s="122">
        <v>0.0</v>
      </c>
      <c r="P86" s="122">
        <v>0.0</v>
      </c>
      <c r="Q86" s="122">
        <v>0.0</v>
      </c>
      <c r="R86" s="122">
        <v>0.0</v>
      </c>
      <c r="S86" s="134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0"/>
      <c r="AU86" s="120"/>
      <c r="AV86" s="120"/>
      <c r="AW86" s="120"/>
      <c r="AX86" s="120"/>
      <c r="AY86" s="120"/>
      <c r="AZ86" s="120"/>
    </row>
    <row r="87">
      <c r="A87" s="136" t="s">
        <v>113</v>
      </c>
      <c r="B87" s="137">
        <v>3.0</v>
      </c>
      <c r="C87" s="137">
        <v>8.0</v>
      </c>
      <c r="D87" s="137">
        <v>9.0</v>
      </c>
      <c r="E87" s="137">
        <v>8.0</v>
      </c>
      <c r="F87" s="137">
        <v>3.0</v>
      </c>
      <c r="G87" s="137">
        <v>30.0</v>
      </c>
      <c r="H87" s="138"/>
      <c r="I87" s="120"/>
      <c r="J87" s="120"/>
      <c r="K87" s="120"/>
      <c r="L87" s="132" t="s">
        <v>112</v>
      </c>
      <c r="M87" s="122">
        <v>0.0</v>
      </c>
      <c r="N87" s="122">
        <v>0.0</v>
      </c>
      <c r="O87" s="122">
        <v>0.0</v>
      </c>
      <c r="P87" s="122">
        <v>0.0</v>
      </c>
      <c r="Q87" s="122">
        <v>0.0</v>
      </c>
      <c r="R87" s="122">
        <v>0.0</v>
      </c>
      <c r="S87" s="133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  <c r="AS87" s="120"/>
      <c r="AT87" s="120"/>
      <c r="AU87" s="120"/>
      <c r="AV87" s="120"/>
      <c r="AW87" s="120"/>
      <c r="AX87" s="120"/>
      <c r="AY87" s="120"/>
      <c r="AZ87" s="120"/>
    </row>
    <row r="88">
      <c r="A88" s="120"/>
      <c r="B88" s="120"/>
      <c r="C88" s="120"/>
      <c r="D88" s="120"/>
      <c r="E88" s="120"/>
      <c r="F88" s="120"/>
      <c r="G88" s="120"/>
      <c r="H88" s="139">
        <v>68200.0</v>
      </c>
      <c r="I88" s="120"/>
      <c r="J88" s="120"/>
      <c r="K88" s="120"/>
      <c r="L88" s="136" t="s">
        <v>113</v>
      </c>
      <c r="M88" s="137">
        <v>0.0</v>
      </c>
      <c r="N88" s="137">
        <v>0.0</v>
      </c>
      <c r="O88" s="137">
        <v>0.0</v>
      </c>
      <c r="P88" s="137">
        <v>0.0</v>
      </c>
      <c r="Q88" s="137">
        <v>0.0</v>
      </c>
      <c r="R88" s="137">
        <v>0.0</v>
      </c>
      <c r="S88" s="138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120"/>
      <c r="AT88" s="120"/>
      <c r="AU88" s="120"/>
      <c r="AV88" s="120"/>
      <c r="AW88" s="120"/>
      <c r="AX88" s="120"/>
      <c r="AY88" s="120"/>
      <c r="AZ88" s="120"/>
    </row>
    <row r="89">
      <c r="A89" s="123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3"/>
      <c r="M89" s="120"/>
      <c r="N89" s="120"/>
      <c r="O89" s="120"/>
      <c r="P89" s="120"/>
      <c r="Q89" s="120"/>
      <c r="R89" s="120"/>
      <c r="S89" s="139">
        <v>253140.0</v>
      </c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  <c r="AP89" s="120"/>
      <c r="AQ89" s="120"/>
      <c r="AR89" s="120"/>
      <c r="AS89" s="120"/>
      <c r="AT89" s="120"/>
      <c r="AU89" s="120"/>
      <c r="AV89" s="120"/>
      <c r="AW89" s="120"/>
      <c r="AX89" s="120"/>
      <c r="AY89" s="120"/>
      <c r="AZ89" s="120"/>
    </row>
    <row r="90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20"/>
      <c r="AU90" s="120"/>
      <c r="AV90" s="120"/>
      <c r="AW90" s="120"/>
      <c r="AX90" s="120"/>
      <c r="AY90" s="120"/>
      <c r="AZ90" s="120"/>
    </row>
    <row r="91">
      <c r="A91" s="123"/>
      <c r="B91" s="123"/>
      <c r="C91" s="123"/>
      <c r="D91" s="123"/>
      <c r="E91" s="123"/>
      <c r="F91" s="123"/>
      <c r="G91" s="123"/>
      <c r="H91" s="123"/>
      <c r="I91" s="120"/>
      <c r="J91" s="120"/>
      <c r="K91" s="120"/>
      <c r="L91" s="123"/>
      <c r="M91" s="123"/>
      <c r="N91" s="123"/>
      <c r="O91" s="123"/>
      <c r="P91" s="123"/>
      <c r="Q91" s="123"/>
      <c r="R91" s="123"/>
      <c r="S91" s="123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  <c r="AS91" s="120"/>
      <c r="AT91" s="120"/>
      <c r="AU91" s="120"/>
      <c r="AV91" s="120"/>
      <c r="AW91" s="120"/>
      <c r="AX91" s="120"/>
      <c r="AY91" s="120"/>
      <c r="AZ91" s="120"/>
    </row>
    <row r="92">
      <c r="A92" s="124" t="s">
        <v>117</v>
      </c>
      <c r="B92" s="141"/>
      <c r="C92" s="141"/>
      <c r="D92" s="141"/>
      <c r="E92" s="141"/>
      <c r="F92" s="141"/>
      <c r="G92" s="141"/>
      <c r="H92" s="125"/>
      <c r="I92" s="125"/>
      <c r="J92" s="125"/>
      <c r="K92" s="125"/>
      <c r="L92" s="141"/>
      <c r="M92" s="141"/>
      <c r="N92" s="141"/>
      <c r="O92" s="141"/>
      <c r="P92" s="141"/>
      <c r="Q92" s="141"/>
      <c r="R92" s="141"/>
      <c r="S92" s="125"/>
      <c r="T92" s="125"/>
      <c r="U92" s="125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  <c r="AS92" s="120"/>
      <c r="AT92" s="120"/>
      <c r="AU92" s="120"/>
      <c r="AV92" s="120"/>
      <c r="AW92" s="120"/>
      <c r="AX92" s="120"/>
      <c r="AY92" s="120"/>
      <c r="AZ92" s="120"/>
    </row>
    <row r="93">
      <c r="A93" s="123"/>
      <c r="B93" s="123"/>
      <c r="C93" s="123"/>
      <c r="D93" s="123"/>
      <c r="E93" s="123"/>
      <c r="F93" s="123"/>
      <c r="G93" s="123"/>
      <c r="H93" s="123"/>
      <c r="I93" s="120"/>
      <c r="J93" s="120"/>
      <c r="K93" s="120"/>
      <c r="L93" s="123"/>
      <c r="M93" s="123"/>
      <c r="N93" s="123"/>
      <c r="O93" s="123"/>
      <c r="P93" s="123"/>
      <c r="Q93" s="123"/>
      <c r="R93" s="123"/>
      <c r="S93" s="123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  <c r="AV93" s="120"/>
      <c r="AW93" s="120"/>
      <c r="AX93" s="120"/>
      <c r="AY93" s="120"/>
      <c r="AZ93" s="120"/>
    </row>
    <row r="94">
      <c r="A94" s="126" t="s">
        <v>99</v>
      </c>
      <c r="B94" s="142"/>
      <c r="C94" s="142"/>
      <c r="D94" s="142"/>
      <c r="E94" s="142"/>
      <c r="F94" s="142"/>
      <c r="G94" s="142"/>
      <c r="H94" s="127"/>
      <c r="I94" s="127"/>
      <c r="J94" s="128"/>
      <c r="K94" s="120"/>
      <c r="L94" s="126" t="s">
        <v>100</v>
      </c>
      <c r="M94" s="142"/>
      <c r="N94" s="142"/>
      <c r="O94" s="142"/>
      <c r="P94" s="142"/>
      <c r="Q94" s="142"/>
      <c r="R94" s="142"/>
      <c r="S94" s="127"/>
      <c r="T94" s="127"/>
      <c r="U94" s="128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0"/>
      <c r="AT94" s="120"/>
      <c r="AU94" s="120"/>
      <c r="AV94" s="120"/>
      <c r="AW94" s="120"/>
      <c r="AX94" s="120"/>
      <c r="AY94" s="120"/>
      <c r="AZ94" s="120"/>
    </row>
    <row r="95">
      <c r="A95" s="123"/>
      <c r="B95" s="123"/>
      <c r="C95" s="123"/>
      <c r="D95" s="123"/>
      <c r="E95" s="123"/>
      <c r="F95" s="123"/>
      <c r="G95" s="123"/>
      <c r="H95" s="120"/>
      <c r="I95" s="120"/>
      <c r="J95" s="120"/>
      <c r="K95" s="120"/>
      <c r="L95" s="123"/>
      <c r="M95" s="123"/>
      <c r="N95" s="123"/>
      <c r="O95" s="123"/>
      <c r="P95" s="123"/>
      <c r="Q95" s="123"/>
      <c r="R95" s="123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0"/>
      <c r="AT95" s="120"/>
      <c r="AU95" s="120"/>
      <c r="AV95" s="120"/>
      <c r="AW95" s="120"/>
      <c r="AX95" s="120"/>
      <c r="AY95" s="120"/>
      <c r="AZ95" s="120"/>
    </row>
    <row r="96">
      <c r="A96" s="129" t="s">
        <v>14</v>
      </c>
      <c r="B96" s="130">
        <v>21.0</v>
      </c>
      <c r="C96" s="130">
        <v>22.0</v>
      </c>
      <c r="D96" s="130">
        <v>23.0</v>
      </c>
      <c r="E96" s="130">
        <v>24.0</v>
      </c>
      <c r="F96" s="130">
        <v>25.0</v>
      </c>
      <c r="G96" s="130" t="s">
        <v>23</v>
      </c>
      <c r="H96" s="131" t="s">
        <v>101</v>
      </c>
      <c r="I96" s="120"/>
      <c r="J96" s="120"/>
      <c r="K96" s="120"/>
      <c r="L96" s="129" t="s">
        <v>14</v>
      </c>
      <c r="M96" s="130">
        <v>21.0</v>
      </c>
      <c r="N96" s="130">
        <v>22.0</v>
      </c>
      <c r="O96" s="130">
        <v>23.0</v>
      </c>
      <c r="P96" s="130">
        <v>24.0</v>
      </c>
      <c r="Q96" s="130">
        <v>25.0</v>
      </c>
      <c r="R96" s="130" t="s">
        <v>23</v>
      </c>
      <c r="S96" s="131" t="s">
        <v>101</v>
      </c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  <c r="AP96" s="120"/>
      <c r="AQ96" s="120"/>
      <c r="AR96" s="120"/>
      <c r="AS96" s="120"/>
      <c r="AT96" s="120"/>
      <c r="AU96" s="120"/>
      <c r="AV96" s="120"/>
      <c r="AW96" s="120"/>
      <c r="AX96" s="120"/>
      <c r="AY96" s="120"/>
      <c r="AZ96" s="120"/>
    </row>
    <row r="97">
      <c r="A97" s="132" t="s">
        <v>102</v>
      </c>
      <c r="B97" s="122">
        <v>0.0</v>
      </c>
      <c r="C97" s="122">
        <v>0.0</v>
      </c>
      <c r="D97" s="122">
        <v>0.0</v>
      </c>
      <c r="E97" s="122">
        <v>2.0</v>
      </c>
      <c r="F97" s="122">
        <v>8.0</v>
      </c>
      <c r="G97" s="122">
        <v>10.0</v>
      </c>
      <c r="H97" s="133"/>
      <c r="I97" s="120"/>
      <c r="J97" s="120"/>
      <c r="K97" s="120"/>
      <c r="L97" s="132" t="s">
        <v>102</v>
      </c>
      <c r="M97" s="122">
        <v>0.0</v>
      </c>
      <c r="N97" s="122">
        <v>0.0</v>
      </c>
      <c r="O97" s="122">
        <v>0.0</v>
      </c>
      <c r="P97" s="122">
        <v>0.0</v>
      </c>
      <c r="Q97" s="122">
        <v>0.0</v>
      </c>
      <c r="R97" s="122">
        <v>0.0</v>
      </c>
      <c r="S97" s="133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  <c r="AS97" s="120"/>
      <c r="AT97" s="120"/>
      <c r="AU97" s="120"/>
      <c r="AV97" s="120"/>
      <c r="AW97" s="120"/>
      <c r="AX97" s="120"/>
      <c r="AY97" s="120"/>
      <c r="AZ97" s="120"/>
    </row>
    <row r="98">
      <c r="A98" s="132" t="s">
        <v>103</v>
      </c>
      <c r="B98" s="122">
        <v>60.0</v>
      </c>
      <c r="C98" s="122">
        <v>60.0</v>
      </c>
      <c r="D98" s="122">
        <v>60.0</v>
      </c>
      <c r="E98" s="122">
        <v>60.0</v>
      </c>
      <c r="F98" s="122">
        <v>60.0</v>
      </c>
      <c r="G98" s="122">
        <v>300.0</v>
      </c>
      <c r="H98" s="133"/>
      <c r="I98" s="120"/>
      <c r="J98" s="120"/>
      <c r="K98" s="120"/>
      <c r="L98" s="132" t="s">
        <v>103</v>
      </c>
      <c r="M98" s="122">
        <v>60.0</v>
      </c>
      <c r="N98" s="122">
        <v>60.0</v>
      </c>
      <c r="O98" s="122">
        <v>60.0</v>
      </c>
      <c r="P98" s="122">
        <v>60.0</v>
      </c>
      <c r="Q98" s="122">
        <v>60.0</v>
      </c>
      <c r="R98" s="122">
        <v>300.0</v>
      </c>
      <c r="S98" s="134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0"/>
      <c r="AT98" s="120"/>
      <c r="AU98" s="120"/>
      <c r="AV98" s="120"/>
      <c r="AW98" s="120"/>
      <c r="AX98" s="120"/>
      <c r="AY98" s="120"/>
      <c r="AZ98" s="120"/>
    </row>
    <row r="99">
      <c r="A99" s="132" t="s">
        <v>104</v>
      </c>
      <c r="B99" s="122">
        <v>44.0</v>
      </c>
      <c r="C99" s="122">
        <v>44.0</v>
      </c>
      <c r="D99" s="122">
        <v>44.0</v>
      </c>
      <c r="E99" s="122">
        <v>44.0</v>
      </c>
      <c r="F99" s="122">
        <v>44.0</v>
      </c>
      <c r="G99" s="122">
        <v>221.0</v>
      </c>
      <c r="H99" s="135">
        <v>44200.0</v>
      </c>
      <c r="I99" s="120"/>
      <c r="J99" s="120"/>
      <c r="K99" s="120"/>
      <c r="L99" s="132" t="s">
        <v>104</v>
      </c>
      <c r="M99" s="122">
        <v>51.0</v>
      </c>
      <c r="N99" s="122">
        <v>38.0</v>
      </c>
      <c r="O99" s="122">
        <v>41.0</v>
      </c>
      <c r="P99" s="122">
        <v>39.0</v>
      </c>
      <c r="Q99" s="122">
        <v>52.0</v>
      </c>
      <c r="R99" s="122">
        <v>221.0</v>
      </c>
      <c r="S99" s="135">
        <v>44200.0</v>
      </c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  <c r="AP99" s="120"/>
      <c r="AQ99" s="120"/>
      <c r="AR99" s="120"/>
      <c r="AS99" s="120"/>
      <c r="AT99" s="120"/>
      <c r="AU99" s="120"/>
      <c r="AV99" s="120"/>
      <c r="AW99" s="120"/>
      <c r="AX99" s="120"/>
      <c r="AY99" s="120"/>
      <c r="AZ99" s="120"/>
    </row>
    <row r="100">
      <c r="A100" s="132" t="s">
        <v>105</v>
      </c>
      <c r="B100" s="122">
        <v>51.0</v>
      </c>
      <c r="C100" s="122">
        <v>38.0</v>
      </c>
      <c r="D100" s="122">
        <v>41.0</v>
      </c>
      <c r="E100" s="122">
        <v>39.0</v>
      </c>
      <c r="F100" s="122">
        <v>52.0</v>
      </c>
      <c r="G100" s="122">
        <v>221.0</v>
      </c>
      <c r="H100" s="134"/>
      <c r="I100" s="120"/>
      <c r="J100" s="120"/>
      <c r="K100" s="120"/>
      <c r="L100" s="132" t="s">
        <v>105</v>
      </c>
      <c r="M100" s="122">
        <v>51.0</v>
      </c>
      <c r="N100" s="122">
        <v>38.0</v>
      </c>
      <c r="O100" s="122">
        <v>41.0</v>
      </c>
      <c r="P100" s="122">
        <v>39.0</v>
      </c>
      <c r="Q100" s="122">
        <v>52.0</v>
      </c>
      <c r="R100" s="122">
        <v>221.0</v>
      </c>
      <c r="S100" s="133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  <c r="AV100" s="120"/>
      <c r="AW100" s="120"/>
      <c r="AX100" s="120"/>
      <c r="AY100" s="120"/>
      <c r="AZ100" s="120"/>
    </row>
    <row r="101">
      <c r="A101" s="132" t="s">
        <v>106</v>
      </c>
      <c r="B101" s="122">
        <v>2.0</v>
      </c>
      <c r="C101" s="122">
        <v>2.0</v>
      </c>
      <c r="D101" s="122">
        <v>2.0</v>
      </c>
      <c r="E101" s="122">
        <v>2.0</v>
      </c>
      <c r="F101" s="122">
        <v>2.0</v>
      </c>
      <c r="G101" s="122">
        <v>10.0</v>
      </c>
      <c r="H101" s="134"/>
      <c r="I101" s="120"/>
      <c r="J101" s="120"/>
      <c r="K101" s="120"/>
      <c r="L101" s="132" t="s">
        <v>106</v>
      </c>
      <c r="M101" s="122">
        <v>2.0</v>
      </c>
      <c r="N101" s="122">
        <v>2.0</v>
      </c>
      <c r="O101" s="122">
        <v>2.0</v>
      </c>
      <c r="P101" s="122">
        <v>2.0</v>
      </c>
      <c r="Q101" s="122">
        <v>2.0</v>
      </c>
      <c r="R101" s="122">
        <v>10.0</v>
      </c>
      <c r="S101" s="133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0"/>
      <c r="AU101" s="120"/>
      <c r="AV101" s="120"/>
      <c r="AW101" s="120"/>
      <c r="AX101" s="120"/>
      <c r="AY101" s="120"/>
      <c r="AZ101" s="120"/>
    </row>
    <row r="102">
      <c r="A102" s="132" t="s">
        <v>107</v>
      </c>
      <c r="B102" s="122">
        <v>10.0</v>
      </c>
      <c r="C102" s="120"/>
      <c r="D102" s="120"/>
      <c r="E102" s="120"/>
      <c r="F102" s="120"/>
      <c r="G102" s="120"/>
      <c r="H102" s="133"/>
      <c r="I102" s="120"/>
      <c r="J102" s="120"/>
      <c r="K102" s="120"/>
      <c r="L102" s="132" t="s">
        <v>107</v>
      </c>
      <c r="M102" s="122">
        <v>10.0</v>
      </c>
      <c r="N102" s="122">
        <v>2.0</v>
      </c>
      <c r="O102" s="122">
        <v>2.0</v>
      </c>
      <c r="P102" s="122">
        <v>2.0</v>
      </c>
      <c r="Q102" s="122">
        <v>2.0</v>
      </c>
      <c r="R102" s="122">
        <v>18.0</v>
      </c>
      <c r="S102" s="133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  <c r="AV102" s="120"/>
      <c r="AW102" s="120"/>
      <c r="AX102" s="120"/>
      <c r="AY102" s="120"/>
      <c r="AZ102" s="120"/>
    </row>
    <row r="103">
      <c r="A103" s="132" t="s">
        <v>108</v>
      </c>
      <c r="B103" s="122">
        <v>0.0</v>
      </c>
      <c r="C103" s="122">
        <v>0.0</v>
      </c>
      <c r="D103" s="122">
        <v>0.0</v>
      </c>
      <c r="E103" s="122">
        <v>0.0</v>
      </c>
      <c r="F103" s="122">
        <v>0.0</v>
      </c>
      <c r="G103" s="122">
        <v>0.0</v>
      </c>
      <c r="H103" s="133"/>
      <c r="I103" s="120"/>
      <c r="J103" s="120"/>
      <c r="K103" s="120"/>
      <c r="L103" s="132" t="s">
        <v>108</v>
      </c>
      <c r="M103" s="122">
        <v>0.0</v>
      </c>
      <c r="N103" s="122">
        <v>0.0</v>
      </c>
      <c r="O103" s="122">
        <v>0.0</v>
      </c>
      <c r="P103" s="122">
        <v>0.0</v>
      </c>
      <c r="Q103" s="122">
        <v>0.0</v>
      </c>
      <c r="R103" s="122">
        <v>0.0</v>
      </c>
      <c r="S103" s="134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  <c r="AV103" s="120"/>
      <c r="AW103" s="120"/>
      <c r="AX103" s="120"/>
      <c r="AY103" s="120"/>
      <c r="AZ103" s="120"/>
    </row>
    <row r="104">
      <c r="A104" s="132" t="s">
        <v>109</v>
      </c>
      <c r="B104" s="122">
        <v>16.0</v>
      </c>
      <c r="C104" s="122">
        <v>16.0</v>
      </c>
      <c r="D104" s="122">
        <v>16.0</v>
      </c>
      <c r="E104" s="122">
        <v>16.0</v>
      </c>
      <c r="F104" s="122">
        <v>16.0</v>
      </c>
      <c r="G104" s="122">
        <v>79.0</v>
      </c>
      <c r="H104" s="135">
        <v>12640.0</v>
      </c>
      <c r="I104" s="120"/>
      <c r="J104" s="120"/>
      <c r="K104" s="120"/>
      <c r="L104" s="132" t="s">
        <v>110</v>
      </c>
      <c r="M104" s="122">
        <v>8.0</v>
      </c>
      <c r="N104" s="122">
        <v>0.0</v>
      </c>
      <c r="O104" s="122">
        <v>0.0</v>
      </c>
      <c r="P104" s="122">
        <v>0.0</v>
      </c>
      <c r="Q104" s="122">
        <v>0.0</v>
      </c>
      <c r="R104" s="122">
        <v>8.0</v>
      </c>
      <c r="S104" s="135">
        <v>200000.0</v>
      </c>
      <c r="T104" s="120"/>
      <c r="U104" s="120"/>
      <c r="V104" s="120"/>
    </row>
    <row r="105">
      <c r="A105" s="132" t="s">
        <v>111</v>
      </c>
      <c r="B105" s="122">
        <v>0.0</v>
      </c>
      <c r="C105" s="122">
        <v>0.0</v>
      </c>
      <c r="D105" s="122">
        <v>2.0</v>
      </c>
      <c r="E105" s="122">
        <v>8.0</v>
      </c>
      <c r="F105" s="122">
        <v>0.0</v>
      </c>
      <c r="G105" s="122">
        <v>10.0</v>
      </c>
      <c r="H105" s="135">
        <v>185.0</v>
      </c>
      <c r="I105" s="120"/>
      <c r="J105" s="120"/>
      <c r="K105" s="120"/>
      <c r="L105" s="132" t="s">
        <v>109</v>
      </c>
      <c r="M105" s="122">
        <v>9.0</v>
      </c>
      <c r="N105" s="122">
        <v>22.0</v>
      </c>
      <c r="O105" s="122">
        <v>19.0</v>
      </c>
      <c r="P105" s="122">
        <v>21.0</v>
      </c>
      <c r="Q105" s="122">
        <v>8.0</v>
      </c>
      <c r="R105" s="122">
        <v>79.0</v>
      </c>
      <c r="S105" s="135">
        <v>12640.0</v>
      </c>
      <c r="T105" s="120"/>
      <c r="U105" s="120"/>
      <c r="V105" s="120"/>
    </row>
    <row r="106">
      <c r="A106" s="132" t="s">
        <v>112</v>
      </c>
      <c r="B106" s="122">
        <v>7.0</v>
      </c>
      <c r="C106" s="122">
        <v>1.0</v>
      </c>
      <c r="D106" s="122">
        <v>0.0</v>
      </c>
      <c r="E106" s="122">
        <v>0.0</v>
      </c>
      <c r="F106" s="122">
        <v>0.0</v>
      </c>
      <c r="G106" s="122">
        <v>8.0</v>
      </c>
      <c r="H106" s="135">
        <v>585.0</v>
      </c>
      <c r="I106" s="120"/>
      <c r="J106" s="120"/>
      <c r="K106" s="120"/>
      <c r="L106" s="132" t="s">
        <v>111</v>
      </c>
      <c r="M106" s="122">
        <v>0.0</v>
      </c>
      <c r="N106" s="122">
        <v>0.0</v>
      </c>
      <c r="O106" s="122">
        <v>0.0</v>
      </c>
      <c r="P106" s="122">
        <v>0.0</v>
      </c>
      <c r="Q106" s="122">
        <v>0.0</v>
      </c>
      <c r="R106" s="122">
        <v>0.0</v>
      </c>
      <c r="S106" s="133"/>
      <c r="T106" s="120"/>
      <c r="U106" s="120"/>
      <c r="V106" s="120"/>
    </row>
    <row r="107">
      <c r="A107" s="136" t="s">
        <v>113</v>
      </c>
      <c r="B107" s="137">
        <v>0.0</v>
      </c>
      <c r="C107" s="137">
        <v>0.0</v>
      </c>
      <c r="D107" s="137">
        <v>1.0</v>
      </c>
      <c r="E107" s="137">
        <v>5.0</v>
      </c>
      <c r="F107" s="137">
        <v>4.0</v>
      </c>
      <c r="G107" s="137">
        <v>10.0</v>
      </c>
      <c r="H107" s="138"/>
      <c r="I107" s="120"/>
      <c r="J107" s="120"/>
      <c r="K107" s="120"/>
      <c r="L107" s="132" t="s">
        <v>112</v>
      </c>
      <c r="M107" s="122">
        <v>0.0</v>
      </c>
      <c r="N107" s="122">
        <v>0.0</v>
      </c>
      <c r="O107" s="122">
        <v>0.0</v>
      </c>
      <c r="P107" s="122">
        <v>0.0</v>
      </c>
      <c r="Q107" s="122">
        <v>0.0</v>
      </c>
      <c r="R107" s="122">
        <v>0.0</v>
      </c>
      <c r="S107" s="133"/>
      <c r="T107" s="120"/>
      <c r="U107" s="120"/>
      <c r="V107" s="120"/>
    </row>
    <row r="108">
      <c r="A108" s="120"/>
      <c r="B108" s="120"/>
      <c r="C108" s="120"/>
      <c r="D108" s="120"/>
      <c r="E108" s="120"/>
      <c r="F108" s="120"/>
      <c r="G108" s="120"/>
      <c r="H108" s="139">
        <v>57610.0</v>
      </c>
      <c r="I108" s="120"/>
      <c r="J108" s="120"/>
      <c r="K108" s="120"/>
      <c r="L108" s="136" t="s">
        <v>113</v>
      </c>
      <c r="M108" s="137">
        <v>0.0</v>
      </c>
      <c r="N108" s="137">
        <v>0.0</v>
      </c>
      <c r="O108" s="137">
        <v>0.0</v>
      </c>
      <c r="P108" s="137">
        <v>0.0</v>
      </c>
      <c r="Q108" s="137">
        <v>0.0</v>
      </c>
      <c r="R108" s="137">
        <v>0.0</v>
      </c>
      <c r="S108" s="138"/>
      <c r="T108" s="120"/>
      <c r="U108" s="120"/>
      <c r="V108" s="120"/>
    </row>
    <row r="109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39">
        <v>256840.0</v>
      </c>
      <c r="T109" s="120"/>
      <c r="U109" s="120"/>
      <c r="V109" s="120"/>
    </row>
    <row r="110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</row>
    <row r="11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</row>
    <row r="112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</row>
    <row r="113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</row>
  </sheetData>
  <mergeCells count="1">
    <mergeCell ref="N2:U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27.56"/>
  </cols>
  <sheetData>
    <row r="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>
      <c r="A4" s="144"/>
      <c r="B4" s="144"/>
      <c r="C4" s="144"/>
      <c r="D4" s="144"/>
      <c r="E4" s="144"/>
      <c r="F4" s="145" t="s">
        <v>118</v>
      </c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>
      <c r="A5" s="143"/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>
      <c r="A8" s="143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>
      <c r="A10" s="143"/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>
      <c r="A11" s="143"/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>
      <c r="A12" s="143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>
      <c r="A13" s="143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>
      <c r="A15" s="143"/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>
      <c r="A16" s="143"/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>
      <c r="A17" s="143"/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>
      <c r="A18" s="143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>
      <c r="A19" s="143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>
      <c r="A20" s="143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>
      <c r="A21" s="143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>
      <c r="A30" s="146"/>
      <c r="B30" s="147" t="s">
        <v>98</v>
      </c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</row>
    <row r="31">
      <c r="A31" s="143"/>
      <c r="B31" s="148"/>
      <c r="C31" s="148"/>
      <c r="D31" s="148"/>
      <c r="E31" s="148"/>
      <c r="F31" s="148"/>
      <c r="G31" s="148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>
      <c r="A32" s="149"/>
      <c r="B32" s="150" t="s">
        <v>1</v>
      </c>
      <c r="C32" s="151">
        <v>21.0</v>
      </c>
      <c r="D32" s="151">
        <v>22.0</v>
      </c>
      <c r="E32" s="151">
        <v>23.0</v>
      </c>
      <c r="F32" s="151">
        <v>24.0</v>
      </c>
      <c r="G32" s="151">
        <v>25.0</v>
      </c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>
      <c r="A33" s="149"/>
      <c r="B33" s="152"/>
      <c r="C33" s="153">
        <v>145.0</v>
      </c>
      <c r="D33" s="153">
        <v>145.0</v>
      </c>
      <c r="E33" s="153">
        <v>145.0</v>
      </c>
      <c r="F33" s="153">
        <v>145.0</v>
      </c>
      <c r="G33" s="153">
        <v>145.0</v>
      </c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>
      <c r="A34" s="143"/>
      <c r="B34" s="148"/>
      <c r="C34" s="148"/>
      <c r="D34" s="148"/>
      <c r="E34" s="148"/>
      <c r="F34" s="148"/>
      <c r="G34" s="148"/>
      <c r="H34" s="148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>
      <c r="A35" s="149"/>
      <c r="B35" s="150" t="s">
        <v>119</v>
      </c>
      <c r="C35" s="150" t="s">
        <v>120</v>
      </c>
      <c r="D35" s="152"/>
      <c r="E35" s="152"/>
      <c r="F35" s="152"/>
      <c r="G35" s="152"/>
      <c r="H35" s="152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>
      <c r="A36" s="149"/>
      <c r="B36" s="152"/>
      <c r="C36" s="152"/>
      <c r="D36" s="151">
        <v>21.0</v>
      </c>
      <c r="E36" s="151">
        <v>22.0</v>
      </c>
      <c r="F36" s="151">
        <v>23.0</v>
      </c>
      <c r="G36" s="151">
        <v>24.0</v>
      </c>
      <c r="H36" s="151">
        <v>25.0</v>
      </c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>
      <c r="A37" s="149"/>
      <c r="B37" s="150" t="s">
        <v>121</v>
      </c>
      <c r="C37" s="152"/>
      <c r="D37" s="153">
        <v>145.0</v>
      </c>
      <c r="E37" s="153">
        <v>145.0</v>
      </c>
      <c r="F37" s="153">
        <v>145.0</v>
      </c>
      <c r="G37" s="153">
        <v>145.0</v>
      </c>
      <c r="H37" s="153">
        <v>145.0</v>
      </c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>
      <c r="A38" s="149"/>
      <c r="B38" s="150" t="s">
        <v>122</v>
      </c>
      <c r="C38" s="152"/>
      <c r="D38" s="152"/>
      <c r="E38" s="152"/>
      <c r="F38" s="152"/>
      <c r="G38" s="152"/>
      <c r="H38" s="152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>
      <c r="A39" s="149"/>
      <c r="B39" s="150" t="s">
        <v>123</v>
      </c>
      <c r="C39" s="152"/>
      <c r="D39" s="154">
        <f>650-D37</f>
        <v>505</v>
      </c>
      <c r="E39" s="154">
        <f t="shared" ref="E39:G39" si="1">D39-E37</f>
        <v>360</v>
      </c>
      <c r="F39" s="154">
        <f t="shared" si="1"/>
        <v>215</v>
      </c>
      <c r="G39" s="154">
        <f t="shared" si="1"/>
        <v>70</v>
      </c>
      <c r="H39" s="154">
        <f>G42+G39-H37</f>
        <v>50</v>
      </c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>
      <c r="A40" s="149"/>
      <c r="B40" s="150" t="s">
        <v>124</v>
      </c>
      <c r="C40" s="152"/>
      <c r="D40" s="152"/>
      <c r="E40" s="152"/>
      <c r="F40" s="152"/>
      <c r="G40" s="152"/>
      <c r="H40" s="154">
        <f>H37-G39+H39</f>
        <v>125</v>
      </c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>
      <c r="A41" s="149"/>
      <c r="B41" s="150" t="s">
        <v>125</v>
      </c>
      <c r="C41" s="152"/>
      <c r="D41" s="152"/>
      <c r="E41" s="152"/>
      <c r="F41" s="152"/>
      <c r="G41" s="152"/>
      <c r="H41" s="154">
        <v>125.0</v>
      </c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>
      <c r="A42" s="149"/>
      <c r="B42" s="150" t="s">
        <v>126</v>
      </c>
      <c r="C42" s="152"/>
      <c r="D42" s="152"/>
      <c r="E42" s="152"/>
      <c r="F42" s="152"/>
      <c r="G42" s="154">
        <v>125.0</v>
      </c>
      <c r="H42" s="152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>
      <c r="A43" s="149"/>
      <c r="B43" s="150" t="s">
        <v>127</v>
      </c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>
      <c r="A45" s="143"/>
      <c r="B45" s="148"/>
      <c r="C45" s="148"/>
      <c r="D45" s="148"/>
      <c r="E45" s="148"/>
      <c r="F45" s="148"/>
      <c r="G45" s="148"/>
      <c r="H45" s="148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>
      <c r="A46" s="149"/>
      <c r="B46" s="150" t="s">
        <v>128</v>
      </c>
      <c r="C46" s="150" t="s">
        <v>129</v>
      </c>
      <c r="D46" s="152"/>
      <c r="E46" s="152"/>
      <c r="F46" s="152"/>
      <c r="G46" s="152"/>
      <c r="H46" s="152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>
      <c r="A47" s="149"/>
      <c r="B47" s="152"/>
      <c r="C47" s="152"/>
      <c r="D47" s="155">
        <v>21.0</v>
      </c>
      <c r="E47" s="155">
        <v>22.0</v>
      </c>
      <c r="F47" s="155">
        <v>23.0</v>
      </c>
      <c r="G47" s="155">
        <v>24.0</v>
      </c>
      <c r="H47" s="155">
        <v>25.0</v>
      </c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>
      <c r="A48" s="149"/>
      <c r="B48" s="156" t="s">
        <v>121</v>
      </c>
      <c r="C48" s="152"/>
      <c r="D48" s="157">
        <f t="shared" ref="D48:G48" si="2">D37*3</f>
        <v>435</v>
      </c>
      <c r="E48" s="157">
        <f t="shared" si="2"/>
        <v>435</v>
      </c>
      <c r="F48" s="157">
        <f t="shared" si="2"/>
        <v>435</v>
      </c>
      <c r="G48" s="157">
        <f t="shared" si="2"/>
        <v>435</v>
      </c>
      <c r="H48" s="157">
        <v>435.0</v>
      </c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>
      <c r="A49" s="149"/>
      <c r="B49" s="156" t="s">
        <v>122</v>
      </c>
      <c r="C49" s="152"/>
      <c r="D49" s="152"/>
      <c r="E49" s="152"/>
      <c r="F49" s="152"/>
      <c r="G49" s="152"/>
      <c r="H49" s="152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>
      <c r="A50" s="149"/>
      <c r="B50" s="156" t="s">
        <v>130</v>
      </c>
      <c r="C50" s="152"/>
      <c r="D50" s="157">
        <f>450-D48+C53</f>
        <v>1015</v>
      </c>
      <c r="E50" s="157">
        <f t="shared" ref="E50:F50" si="3">D50-E48</f>
        <v>580</v>
      </c>
      <c r="F50" s="157">
        <f t="shared" si="3"/>
        <v>145</v>
      </c>
      <c r="G50" s="157">
        <f>F53+F50-G48</f>
        <v>710</v>
      </c>
      <c r="H50" s="157">
        <f>G50-H48</f>
        <v>275</v>
      </c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>
      <c r="A51" s="149"/>
      <c r="B51" s="156" t="s">
        <v>124</v>
      </c>
      <c r="C51" s="152"/>
      <c r="D51" s="157">
        <f>535-450</f>
        <v>85</v>
      </c>
      <c r="E51" s="157">
        <v>435.0</v>
      </c>
      <c r="F51" s="157">
        <v>432.0</v>
      </c>
      <c r="G51" s="157">
        <v>429.0</v>
      </c>
      <c r="H51" s="157">
        <v>435.0</v>
      </c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>
      <c r="A52" s="149"/>
      <c r="B52" s="156" t="s">
        <v>125</v>
      </c>
      <c r="C52" s="152"/>
      <c r="D52" s="157">
        <v>1000.0</v>
      </c>
      <c r="E52" s="152"/>
      <c r="F52" s="152"/>
      <c r="G52" s="157">
        <v>1000.0</v>
      </c>
      <c r="H52" s="152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>
      <c r="A53" s="149"/>
      <c r="B53" s="156" t="s">
        <v>126</v>
      </c>
      <c r="C53" s="157">
        <v>1000.0</v>
      </c>
      <c r="D53" s="152"/>
      <c r="E53" s="152"/>
      <c r="F53" s="157">
        <v>1000.0</v>
      </c>
      <c r="G53" s="152"/>
      <c r="H53" s="152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>
      <c r="A54" s="149"/>
      <c r="B54" s="156" t="s">
        <v>131</v>
      </c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>
      <c r="A58" s="146"/>
      <c r="B58" s="147" t="s">
        <v>114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</row>
    <row r="59">
      <c r="A59" s="143"/>
      <c r="B59" s="148"/>
      <c r="C59" s="148"/>
      <c r="D59" s="148"/>
      <c r="E59" s="148"/>
      <c r="F59" s="148"/>
      <c r="G59" s="148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>
      <c r="A60" s="149"/>
      <c r="B60" s="158" t="s">
        <v>42</v>
      </c>
      <c r="C60" s="159">
        <v>21.0</v>
      </c>
      <c r="D60" s="159">
        <v>22.0</v>
      </c>
      <c r="E60" s="159">
        <v>23.0</v>
      </c>
      <c r="F60" s="159">
        <v>24.0</v>
      </c>
      <c r="G60" s="159">
        <v>25.0</v>
      </c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>
      <c r="A61" s="149"/>
      <c r="B61" s="152"/>
      <c r="C61" s="153">
        <v>184.0</v>
      </c>
      <c r="D61" s="153">
        <v>205.0</v>
      </c>
      <c r="E61" s="153">
        <v>224.0</v>
      </c>
      <c r="F61" s="153">
        <v>212.0</v>
      </c>
      <c r="G61" s="153">
        <v>177.0</v>
      </c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>
      <c r="A62" s="143"/>
      <c r="B62" s="148"/>
      <c r="C62" s="148"/>
      <c r="D62" s="148"/>
      <c r="E62" s="148"/>
      <c r="F62" s="148"/>
      <c r="G62" s="148"/>
      <c r="H62" s="148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>
      <c r="A63" s="149"/>
      <c r="B63" s="160" t="s">
        <v>132</v>
      </c>
      <c r="C63" s="156" t="s">
        <v>120</v>
      </c>
      <c r="D63" s="152"/>
      <c r="E63" s="152"/>
      <c r="F63" s="152"/>
      <c r="G63" s="152"/>
      <c r="H63" s="152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>
      <c r="A64" s="149"/>
      <c r="B64" s="152"/>
      <c r="C64" s="152"/>
      <c r="D64" s="155">
        <v>21.0</v>
      </c>
      <c r="E64" s="155">
        <v>22.0</v>
      </c>
      <c r="F64" s="155">
        <v>23.0</v>
      </c>
      <c r="G64" s="155">
        <v>24.0</v>
      </c>
      <c r="H64" s="155">
        <v>25.0</v>
      </c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>
      <c r="A65" s="149"/>
      <c r="B65" s="156" t="s">
        <v>121</v>
      </c>
      <c r="C65" s="152"/>
      <c r="D65" s="153">
        <v>184.0</v>
      </c>
      <c r="E65" s="153">
        <v>205.0</v>
      </c>
      <c r="F65" s="153">
        <v>224.0</v>
      </c>
      <c r="G65" s="153">
        <v>212.0</v>
      </c>
      <c r="H65" s="153">
        <v>177.0</v>
      </c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>
      <c r="A66" s="149"/>
      <c r="B66" s="156" t="s">
        <v>122</v>
      </c>
      <c r="C66" s="152"/>
      <c r="D66" s="152"/>
      <c r="E66" s="152"/>
      <c r="F66" s="152"/>
      <c r="G66" s="152"/>
      <c r="H66" s="152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>
      <c r="A67" s="149"/>
      <c r="B67" s="156" t="s">
        <v>123</v>
      </c>
      <c r="C67" s="152"/>
      <c r="D67" s="157">
        <f>650-D65</f>
        <v>466</v>
      </c>
      <c r="E67" s="157">
        <f t="shared" ref="E67:F67" si="4">D67-E65</f>
        <v>261</v>
      </c>
      <c r="F67" s="157">
        <f t="shared" si="4"/>
        <v>37</v>
      </c>
      <c r="G67" s="157">
        <v>50.0</v>
      </c>
      <c r="H67" s="157">
        <v>50.0</v>
      </c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>
      <c r="A68" s="149"/>
      <c r="B68" s="156" t="s">
        <v>124</v>
      </c>
      <c r="C68" s="152"/>
      <c r="D68" s="152"/>
      <c r="E68" s="152"/>
      <c r="F68" s="157">
        <f>G67-F67</f>
        <v>13</v>
      </c>
      <c r="G68" s="157">
        <v>212.0</v>
      </c>
      <c r="H68" s="157">
        <v>177.0</v>
      </c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>
      <c r="A69" s="149"/>
      <c r="B69" s="156" t="s">
        <v>125</v>
      </c>
      <c r="C69" s="152"/>
      <c r="D69" s="152"/>
      <c r="E69" s="152"/>
      <c r="F69" s="157">
        <v>13.0</v>
      </c>
      <c r="G69" s="157">
        <v>212.0</v>
      </c>
      <c r="H69" s="157">
        <v>177.0</v>
      </c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>
      <c r="A70" s="149"/>
      <c r="B70" s="156" t="s">
        <v>126</v>
      </c>
      <c r="C70" s="152"/>
      <c r="D70" s="152"/>
      <c r="E70" s="152"/>
      <c r="F70" s="157">
        <v>212.0</v>
      </c>
      <c r="G70" s="157">
        <v>177.0</v>
      </c>
      <c r="H70" s="152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>
      <c r="A71" s="149"/>
      <c r="B71" s="156" t="s">
        <v>127</v>
      </c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>
      <c r="A73" s="143"/>
      <c r="B73" s="148"/>
      <c r="C73" s="148"/>
      <c r="D73" s="148"/>
      <c r="E73" s="148"/>
      <c r="F73" s="148"/>
      <c r="G73" s="148"/>
      <c r="H73" s="148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>
      <c r="A74" s="149"/>
      <c r="B74" s="160" t="s">
        <v>119</v>
      </c>
      <c r="C74" s="156" t="s">
        <v>120</v>
      </c>
      <c r="D74" s="152"/>
      <c r="E74" s="152"/>
      <c r="F74" s="152"/>
      <c r="G74" s="152"/>
      <c r="H74" s="152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>
      <c r="A75" s="149"/>
      <c r="B75" s="152"/>
      <c r="C75" s="152"/>
      <c r="D75" s="155">
        <v>21.0</v>
      </c>
      <c r="E75" s="155">
        <v>22.0</v>
      </c>
      <c r="F75" s="155">
        <v>23.0</v>
      </c>
      <c r="G75" s="155">
        <v>24.0</v>
      </c>
      <c r="H75" s="155">
        <v>25.0</v>
      </c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>
      <c r="A76" s="149"/>
      <c r="B76" s="156" t="s">
        <v>121</v>
      </c>
      <c r="C76" s="152"/>
      <c r="D76" s="153">
        <f t="shared" ref="D76:H76" si="5">D65*2</f>
        <v>368</v>
      </c>
      <c r="E76" s="153">
        <f t="shared" si="5"/>
        <v>410</v>
      </c>
      <c r="F76" s="153">
        <f t="shared" si="5"/>
        <v>448</v>
      </c>
      <c r="G76" s="153">
        <f t="shared" si="5"/>
        <v>424</v>
      </c>
      <c r="H76" s="153">
        <f t="shared" si="5"/>
        <v>354</v>
      </c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>
      <c r="A77" s="149"/>
      <c r="B77" s="156" t="s">
        <v>122</v>
      </c>
      <c r="C77" s="152"/>
      <c r="D77" s="152"/>
      <c r="E77" s="152"/>
      <c r="F77" s="152"/>
      <c r="G77" s="152"/>
      <c r="H77" s="152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>
      <c r="A78" s="149"/>
      <c r="B78" s="156" t="s">
        <v>133</v>
      </c>
      <c r="C78" s="152"/>
      <c r="D78" s="157">
        <v>25.0</v>
      </c>
      <c r="E78" s="157">
        <v>25.0</v>
      </c>
      <c r="F78" s="157">
        <v>25.0</v>
      </c>
      <c r="G78" s="157">
        <v>25.0</v>
      </c>
      <c r="H78" s="157">
        <v>25.0</v>
      </c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>
      <c r="A79" s="149"/>
      <c r="B79" s="156" t="s">
        <v>124</v>
      </c>
      <c r="C79" s="152"/>
      <c r="D79" s="157">
        <f>D76+D78-200</f>
        <v>193</v>
      </c>
      <c r="E79" s="157">
        <v>410.0</v>
      </c>
      <c r="F79" s="157">
        <v>448.0</v>
      </c>
      <c r="G79" s="157">
        <v>424.0</v>
      </c>
      <c r="H79" s="157">
        <v>354.0</v>
      </c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>
      <c r="A80" s="149"/>
      <c r="B80" s="156" t="s">
        <v>125</v>
      </c>
      <c r="C80" s="152"/>
      <c r="D80" s="157">
        <f>D79+E76</f>
        <v>603</v>
      </c>
      <c r="E80" s="152"/>
      <c r="F80" s="157">
        <f>F79+G76</f>
        <v>872</v>
      </c>
      <c r="G80" s="152"/>
      <c r="H80" s="157">
        <v>312.0</v>
      </c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>
      <c r="A81" s="149"/>
      <c r="B81" s="156" t="s">
        <v>126</v>
      </c>
      <c r="C81" s="157">
        <v>603.0</v>
      </c>
      <c r="D81" s="152"/>
      <c r="E81" s="157">
        <v>872.0</v>
      </c>
      <c r="F81" s="152"/>
      <c r="G81" s="157">
        <v>312.0</v>
      </c>
      <c r="H81" s="152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>
      <c r="A82" s="149"/>
      <c r="B82" s="161" t="s">
        <v>134</v>
      </c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>
      <c r="A84" s="143"/>
      <c r="B84" s="148"/>
      <c r="C84" s="148"/>
      <c r="D84" s="148"/>
      <c r="E84" s="148"/>
      <c r="F84" s="148"/>
      <c r="G84" s="148"/>
      <c r="H84" s="148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>
      <c r="A85" s="149"/>
      <c r="B85" s="160" t="s">
        <v>119</v>
      </c>
      <c r="C85" s="156" t="s">
        <v>120</v>
      </c>
      <c r="D85" s="152"/>
      <c r="E85" s="152"/>
      <c r="F85" s="152"/>
      <c r="G85" s="152"/>
      <c r="H85" s="152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>
      <c r="A86" s="149"/>
      <c r="B86" s="152"/>
      <c r="C86" s="152"/>
      <c r="D86" s="155">
        <v>21.0</v>
      </c>
      <c r="E86" s="155">
        <v>22.0</v>
      </c>
      <c r="F86" s="155">
        <v>23.0</v>
      </c>
      <c r="G86" s="155">
        <v>24.0</v>
      </c>
      <c r="H86" s="155">
        <v>25.0</v>
      </c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>
      <c r="A87" s="149"/>
      <c r="B87" s="156" t="s">
        <v>121</v>
      </c>
      <c r="C87" s="152"/>
      <c r="D87" s="157">
        <f>D80*4</f>
        <v>2412</v>
      </c>
      <c r="E87" s="157">
        <f>E81*4</f>
        <v>3488</v>
      </c>
      <c r="F87" s="152"/>
      <c r="G87" s="157">
        <f>G81*4</f>
        <v>1248</v>
      </c>
      <c r="H87" s="152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>
      <c r="A88" s="149"/>
      <c r="B88" s="156" t="s">
        <v>122</v>
      </c>
      <c r="C88" s="152"/>
      <c r="D88" s="152"/>
      <c r="E88" s="152"/>
      <c r="F88" s="152"/>
      <c r="G88" s="152"/>
      <c r="H88" s="152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>
      <c r="A89" s="149"/>
      <c r="B89" s="156" t="s">
        <v>123</v>
      </c>
      <c r="C89" s="152"/>
      <c r="D89" s="157">
        <v>50.0</v>
      </c>
      <c r="E89" s="157">
        <v>50.0</v>
      </c>
      <c r="F89" s="157">
        <v>50.0</v>
      </c>
      <c r="G89" s="157">
        <v>50.0</v>
      </c>
      <c r="H89" s="152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>
      <c r="A90" s="149"/>
      <c r="B90" s="156" t="s">
        <v>124</v>
      </c>
      <c r="C90" s="152"/>
      <c r="D90" s="157">
        <f>D87+D89-650</f>
        <v>1812</v>
      </c>
      <c r="E90" s="157">
        <v>3488.0</v>
      </c>
      <c r="F90" s="152"/>
      <c r="G90" s="157">
        <v>1248.0</v>
      </c>
      <c r="H90" s="152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>
      <c r="A91" s="149"/>
      <c r="B91" s="156" t="s">
        <v>125</v>
      </c>
      <c r="C91" s="152"/>
      <c r="D91" s="157">
        <v>1812.0</v>
      </c>
      <c r="E91" s="157">
        <v>3488.0</v>
      </c>
      <c r="F91" s="152"/>
      <c r="G91" s="157">
        <v>1248.0</v>
      </c>
      <c r="H91" s="152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>
      <c r="A92" s="149"/>
      <c r="B92" s="156" t="s">
        <v>126</v>
      </c>
      <c r="C92" s="157">
        <v>1780.0</v>
      </c>
      <c r="D92" s="157">
        <v>3488.0</v>
      </c>
      <c r="E92" s="152"/>
      <c r="F92" s="157">
        <v>1248.0</v>
      </c>
      <c r="G92" s="152"/>
      <c r="H92" s="152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>
      <c r="A93" s="149"/>
      <c r="B93" s="156" t="s">
        <v>127</v>
      </c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>
      <c r="A96" s="146"/>
      <c r="B96" s="147" t="s">
        <v>47</v>
      </c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</row>
    <row r="97">
      <c r="A97" s="143"/>
      <c r="B97" s="148"/>
      <c r="C97" s="148"/>
      <c r="D97" s="148"/>
      <c r="E97" s="148"/>
      <c r="F97" s="148"/>
      <c r="G97" s="148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>
      <c r="A98" s="149"/>
      <c r="B98" s="150" t="s">
        <v>47</v>
      </c>
      <c r="C98" s="159">
        <v>21.0</v>
      </c>
      <c r="D98" s="159">
        <v>22.0</v>
      </c>
      <c r="E98" s="159">
        <v>23.0</v>
      </c>
      <c r="F98" s="159">
        <v>24.0</v>
      </c>
      <c r="G98" s="159">
        <v>25.0</v>
      </c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>
      <c r="A99" s="149"/>
      <c r="B99" s="152"/>
      <c r="C99" s="153">
        <v>124.0</v>
      </c>
      <c r="D99" s="153">
        <v>97.0</v>
      </c>
      <c r="E99" s="153">
        <v>87.0</v>
      </c>
      <c r="F99" s="153">
        <v>73.0</v>
      </c>
      <c r="G99" s="153">
        <v>128.0</v>
      </c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>
      <c r="A100" s="143"/>
      <c r="B100" s="148"/>
      <c r="C100" s="148"/>
      <c r="D100" s="148"/>
      <c r="E100" s="148"/>
      <c r="F100" s="148"/>
      <c r="G100" s="148"/>
      <c r="H100" s="148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>
      <c r="A101" s="149"/>
      <c r="B101" s="150" t="s">
        <v>128</v>
      </c>
      <c r="C101" s="150" t="s">
        <v>120</v>
      </c>
      <c r="D101" s="152"/>
      <c r="E101" s="152"/>
      <c r="F101" s="152"/>
      <c r="G101" s="152"/>
      <c r="H101" s="152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>
      <c r="A102" s="149"/>
      <c r="B102" s="152"/>
      <c r="C102" s="152"/>
      <c r="D102" s="151">
        <v>21.0</v>
      </c>
      <c r="E102" s="151">
        <v>22.0</v>
      </c>
      <c r="F102" s="151">
        <v>23.0</v>
      </c>
      <c r="G102" s="151">
        <v>24.0</v>
      </c>
      <c r="H102" s="151">
        <v>25.0</v>
      </c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>
      <c r="A103" s="149"/>
      <c r="B103" s="150" t="s">
        <v>121</v>
      </c>
      <c r="C103" s="152"/>
      <c r="D103" s="153">
        <v>124.0</v>
      </c>
      <c r="E103" s="153">
        <v>97.0</v>
      </c>
      <c r="F103" s="153">
        <v>87.0</v>
      </c>
      <c r="G103" s="153">
        <v>73.0</v>
      </c>
      <c r="H103" s="153">
        <v>128.0</v>
      </c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>
      <c r="A104" s="149"/>
      <c r="B104" s="150" t="s">
        <v>122</v>
      </c>
      <c r="C104" s="152"/>
      <c r="D104" s="152"/>
      <c r="E104" s="152"/>
      <c r="F104" s="152"/>
      <c r="G104" s="152"/>
      <c r="H104" s="152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>
      <c r="A105" s="149"/>
      <c r="B105" s="150" t="s">
        <v>130</v>
      </c>
      <c r="C105" s="152"/>
      <c r="D105" s="154">
        <f>450-D103</f>
        <v>326</v>
      </c>
      <c r="E105" s="154">
        <f t="shared" ref="E105:F105" si="6">D105-E103</f>
        <v>229</v>
      </c>
      <c r="F105" s="154">
        <f t="shared" si="6"/>
        <v>142</v>
      </c>
      <c r="G105" s="154">
        <f>1000+F105-G103</f>
        <v>1069</v>
      </c>
      <c r="H105" s="154">
        <f>G105-H103</f>
        <v>941</v>
      </c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>
      <c r="A106" s="149"/>
      <c r="B106" s="150" t="s">
        <v>124</v>
      </c>
      <c r="C106" s="152"/>
      <c r="D106" s="152"/>
      <c r="E106" s="152"/>
      <c r="F106" s="152"/>
      <c r="G106" s="154">
        <v>73.0</v>
      </c>
      <c r="H106" s="154">
        <v>128.0</v>
      </c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>
      <c r="A107" s="149"/>
      <c r="B107" s="150" t="s">
        <v>125</v>
      </c>
      <c r="C107" s="152"/>
      <c r="D107" s="152"/>
      <c r="E107" s="152"/>
      <c r="F107" s="152"/>
      <c r="G107" s="154">
        <v>1000.0</v>
      </c>
      <c r="H107" s="152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>
      <c r="A108" s="149"/>
      <c r="B108" s="150" t="s">
        <v>126</v>
      </c>
      <c r="C108" s="152"/>
      <c r="D108" s="152"/>
      <c r="E108" s="152"/>
      <c r="F108" s="154">
        <v>1000.0</v>
      </c>
      <c r="G108" s="152"/>
      <c r="H108" s="152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>
      <c r="A109" s="149"/>
      <c r="B109" s="150" t="s">
        <v>131</v>
      </c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>
      <c r="A111" s="143"/>
      <c r="B111" s="148"/>
      <c r="C111" s="148"/>
      <c r="D111" s="148"/>
      <c r="E111" s="148"/>
      <c r="F111" s="148"/>
      <c r="G111" s="148"/>
      <c r="H111" s="148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>
      <c r="A112" s="149"/>
      <c r="B112" s="150" t="s">
        <v>132</v>
      </c>
      <c r="C112" s="158" t="s">
        <v>120</v>
      </c>
      <c r="D112" s="152"/>
      <c r="E112" s="152"/>
      <c r="F112" s="152"/>
      <c r="G112" s="152"/>
      <c r="H112" s="152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>
      <c r="A113" s="149"/>
      <c r="B113" s="152"/>
      <c r="C113" s="152"/>
      <c r="D113" s="155">
        <v>21.0</v>
      </c>
      <c r="E113" s="155">
        <v>22.0</v>
      </c>
      <c r="F113" s="155">
        <v>23.0</v>
      </c>
      <c r="G113" s="155">
        <v>24.0</v>
      </c>
      <c r="H113" s="155">
        <v>25.0</v>
      </c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>
      <c r="A114" s="149"/>
      <c r="B114" s="156" t="s">
        <v>121</v>
      </c>
      <c r="C114" s="152"/>
      <c r="D114" s="153">
        <v>124.0</v>
      </c>
      <c r="E114" s="153">
        <v>97.0</v>
      </c>
      <c r="F114" s="153">
        <v>87.0</v>
      </c>
      <c r="G114" s="153">
        <v>73.0</v>
      </c>
      <c r="H114" s="153">
        <v>128.0</v>
      </c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>
      <c r="A115" s="149"/>
      <c r="B115" s="156" t="s">
        <v>122</v>
      </c>
      <c r="C115" s="152"/>
      <c r="D115" s="152"/>
      <c r="E115" s="152"/>
      <c r="F115" s="152"/>
      <c r="G115" s="152"/>
      <c r="H115" s="152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>
      <c r="A116" s="149"/>
      <c r="B116" s="156" t="s">
        <v>133</v>
      </c>
      <c r="C116" s="152"/>
      <c r="D116" s="157">
        <f>200-D114</f>
        <v>76</v>
      </c>
      <c r="E116" s="157">
        <f>E118+D116-E114</f>
        <v>112</v>
      </c>
      <c r="F116" s="157">
        <v>25.0</v>
      </c>
      <c r="G116" s="157">
        <f>G118+F116-G114</f>
        <v>153</v>
      </c>
      <c r="H116" s="157">
        <f>G116-H114</f>
        <v>25</v>
      </c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>
      <c r="A117" s="149"/>
      <c r="B117" s="156" t="s">
        <v>124</v>
      </c>
      <c r="C117" s="152"/>
      <c r="D117" s="152"/>
      <c r="E117" s="157">
        <f>E114+25-D116</f>
        <v>46</v>
      </c>
      <c r="F117" s="157">
        <v>87.0</v>
      </c>
      <c r="G117" s="157">
        <v>73.0</v>
      </c>
      <c r="H117" s="157">
        <v>128.0</v>
      </c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>
      <c r="A118" s="149"/>
      <c r="B118" s="156" t="s">
        <v>125</v>
      </c>
      <c r="C118" s="152"/>
      <c r="D118" s="152"/>
      <c r="E118" s="157">
        <f>E117+F114</f>
        <v>133</v>
      </c>
      <c r="F118" s="152"/>
      <c r="G118" s="157">
        <f>G117+H114</f>
        <v>201</v>
      </c>
      <c r="H118" s="152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>
      <c r="A119" s="149"/>
      <c r="B119" s="156" t="s">
        <v>126</v>
      </c>
      <c r="C119" s="152"/>
      <c r="D119" s="157">
        <v>133.0</v>
      </c>
      <c r="E119" s="152"/>
      <c r="F119" s="157">
        <v>201.0</v>
      </c>
      <c r="G119" s="152"/>
      <c r="H119" s="152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>
      <c r="A120" s="149"/>
      <c r="B120" s="161" t="s">
        <v>135</v>
      </c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>
      <c r="A122" s="143"/>
      <c r="B122" s="148"/>
      <c r="C122" s="148"/>
      <c r="D122" s="148"/>
      <c r="E122" s="148"/>
      <c r="F122" s="148"/>
      <c r="G122" s="148"/>
      <c r="H122" s="148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>
      <c r="A123" s="149"/>
      <c r="B123" s="162" t="s">
        <v>119</v>
      </c>
      <c r="C123" s="158" t="s">
        <v>120</v>
      </c>
      <c r="D123" s="152"/>
      <c r="E123" s="152"/>
      <c r="F123" s="152"/>
      <c r="G123" s="152"/>
      <c r="H123" s="152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>
      <c r="A124" s="149"/>
      <c r="B124" s="152"/>
      <c r="C124" s="152"/>
      <c r="D124" s="155">
        <v>21.0</v>
      </c>
      <c r="E124" s="155">
        <v>22.0</v>
      </c>
      <c r="F124" s="155">
        <v>23.0</v>
      </c>
      <c r="G124" s="155">
        <v>24.0</v>
      </c>
      <c r="H124" s="155">
        <v>25.0</v>
      </c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>
      <c r="A125" s="149"/>
      <c r="B125" s="156" t="s">
        <v>121</v>
      </c>
      <c r="C125" s="152"/>
      <c r="D125" s="157">
        <f>D119*4</f>
        <v>532</v>
      </c>
      <c r="E125" s="152"/>
      <c r="F125" s="157">
        <f>F119*4</f>
        <v>804</v>
      </c>
      <c r="G125" s="152"/>
      <c r="H125" s="152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>
      <c r="A126" s="149"/>
      <c r="B126" s="156" t="s">
        <v>122</v>
      </c>
      <c r="C126" s="152"/>
      <c r="D126" s="152"/>
      <c r="E126" s="152"/>
      <c r="F126" s="152"/>
      <c r="G126" s="152"/>
      <c r="H126" s="152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>
      <c r="A127" s="149"/>
      <c r="B127" s="156" t="s">
        <v>123</v>
      </c>
      <c r="C127" s="152"/>
      <c r="D127" s="157">
        <v>50.0</v>
      </c>
      <c r="E127" s="152"/>
      <c r="F127" s="157">
        <v>50.0</v>
      </c>
      <c r="G127" s="152"/>
      <c r="H127" s="152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>
      <c r="A128" s="149"/>
      <c r="B128" s="156" t="s">
        <v>124</v>
      </c>
      <c r="C128" s="152"/>
      <c r="D128" s="157">
        <f>650-D125+D127</f>
        <v>168</v>
      </c>
      <c r="E128" s="152"/>
      <c r="F128" s="157">
        <v>280.0</v>
      </c>
      <c r="G128" s="152"/>
      <c r="H128" s="152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>
      <c r="A129" s="149"/>
      <c r="B129" s="156" t="s">
        <v>125</v>
      </c>
      <c r="C129" s="152"/>
      <c r="D129" s="157">
        <v>168.0</v>
      </c>
      <c r="E129" s="152"/>
      <c r="F129" s="157">
        <v>280.0</v>
      </c>
      <c r="G129" s="152"/>
      <c r="H129" s="152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>
      <c r="A130" s="149"/>
      <c r="B130" s="156" t="s">
        <v>126</v>
      </c>
      <c r="C130" s="157">
        <v>168.0</v>
      </c>
      <c r="D130" s="152"/>
      <c r="E130" s="157">
        <v>280.0</v>
      </c>
      <c r="F130" s="152"/>
      <c r="G130" s="152"/>
      <c r="H130" s="152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>
      <c r="A131" s="149"/>
      <c r="B131" s="156" t="s">
        <v>127</v>
      </c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>
      <c r="A135" s="146"/>
      <c r="B135" s="147" t="s">
        <v>69</v>
      </c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</row>
    <row r="136">
      <c r="A136" s="143"/>
      <c r="B136" s="148"/>
      <c r="C136" s="148"/>
      <c r="D136" s="148"/>
      <c r="E136" s="148"/>
      <c r="F136" s="148"/>
      <c r="G136" s="148"/>
      <c r="H136" s="148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>
      <c r="A137" s="149"/>
      <c r="B137" s="163" t="s">
        <v>69</v>
      </c>
      <c r="C137" s="152"/>
      <c r="D137" s="155">
        <v>21.0</v>
      </c>
      <c r="E137" s="155">
        <v>22.0</v>
      </c>
      <c r="F137" s="155">
        <v>23.0</v>
      </c>
      <c r="G137" s="155">
        <v>24.0</v>
      </c>
      <c r="H137" s="155">
        <v>25.0</v>
      </c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>
      <c r="A138" s="149"/>
      <c r="B138" s="152"/>
      <c r="C138" s="152"/>
      <c r="D138" s="153">
        <v>82.0</v>
      </c>
      <c r="E138" s="153">
        <v>85.0</v>
      </c>
      <c r="F138" s="153">
        <v>87.0</v>
      </c>
      <c r="G138" s="153">
        <v>90.0</v>
      </c>
      <c r="H138" s="153">
        <v>93.0</v>
      </c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>
      <c r="A139" s="143"/>
      <c r="B139" s="148"/>
      <c r="C139" s="152"/>
      <c r="D139" s="152"/>
      <c r="E139" s="152"/>
      <c r="F139" s="152"/>
      <c r="G139" s="152"/>
      <c r="H139" s="152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>
      <c r="A140" s="149"/>
      <c r="B140" s="160" t="s">
        <v>119</v>
      </c>
      <c r="C140" s="156" t="s">
        <v>120</v>
      </c>
      <c r="D140" s="152"/>
      <c r="E140" s="152"/>
      <c r="F140" s="152"/>
      <c r="G140" s="152"/>
      <c r="H140" s="152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>
      <c r="A141" s="149"/>
      <c r="B141" s="152"/>
      <c r="C141" s="152"/>
      <c r="D141" s="155">
        <v>21.0</v>
      </c>
      <c r="E141" s="155">
        <v>22.0</v>
      </c>
      <c r="F141" s="155">
        <v>23.0</v>
      </c>
      <c r="G141" s="155">
        <v>24.0</v>
      </c>
      <c r="H141" s="155">
        <v>25.0</v>
      </c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>
      <c r="A142" s="149"/>
      <c r="B142" s="156" t="s">
        <v>121</v>
      </c>
      <c r="C142" s="152"/>
      <c r="D142" s="153">
        <v>82.0</v>
      </c>
      <c r="E142" s="153">
        <v>85.0</v>
      </c>
      <c r="F142" s="153">
        <v>87.0</v>
      </c>
      <c r="G142" s="153">
        <v>90.0</v>
      </c>
      <c r="H142" s="153">
        <v>93.0</v>
      </c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>
      <c r="A143" s="149"/>
      <c r="B143" s="156" t="s">
        <v>122</v>
      </c>
      <c r="C143" s="152"/>
      <c r="D143" s="152"/>
      <c r="E143" s="152"/>
      <c r="F143" s="152"/>
      <c r="G143" s="152"/>
      <c r="H143" s="152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>
      <c r="A144" s="149"/>
      <c r="B144" s="156" t="s">
        <v>123</v>
      </c>
      <c r="C144" s="152"/>
      <c r="D144" s="157">
        <f t="shared" ref="D144:H144" si="7">650-D142</f>
        <v>568</v>
      </c>
      <c r="E144" s="157">
        <f t="shared" si="7"/>
        <v>565</v>
      </c>
      <c r="F144" s="157">
        <f t="shared" si="7"/>
        <v>563</v>
      </c>
      <c r="G144" s="157">
        <f t="shared" si="7"/>
        <v>560</v>
      </c>
      <c r="H144" s="157">
        <f t="shared" si="7"/>
        <v>557</v>
      </c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>
      <c r="A145" s="149"/>
      <c r="B145" s="156" t="s">
        <v>124</v>
      </c>
      <c r="C145" s="152"/>
      <c r="D145" s="152"/>
      <c r="E145" s="152"/>
      <c r="F145" s="152"/>
      <c r="G145" s="152"/>
      <c r="H145" s="152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>
      <c r="A146" s="149"/>
      <c r="B146" s="156" t="s">
        <v>125</v>
      </c>
      <c r="C146" s="152"/>
      <c r="D146" s="152"/>
      <c r="E146" s="152"/>
      <c r="F146" s="152"/>
      <c r="G146" s="152"/>
      <c r="H146" s="152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>
      <c r="A147" s="149"/>
      <c r="B147" s="156" t="s">
        <v>126</v>
      </c>
      <c r="C147" s="152"/>
      <c r="D147" s="152"/>
      <c r="E147" s="152"/>
      <c r="F147" s="152"/>
      <c r="G147" s="152"/>
      <c r="H147" s="152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>
      <c r="A148" s="149"/>
      <c r="B148" s="156" t="s">
        <v>127</v>
      </c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>
      <c r="A149" s="143"/>
      <c r="B149" s="148"/>
      <c r="C149" s="148"/>
      <c r="D149" s="148"/>
      <c r="E149" s="148"/>
      <c r="F149" s="148"/>
      <c r="G149" s="148"/>
      <c r="H149" s="148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>
      <c r="A150" s="149"/>
      <c r="B150" s="160" t="s">
        <v>136</v>
      </c>
      <c r="C150" s="156" t="s">
        <v>120</v>
      </c>
      <c r="D150" s="152"/>
      <c r="E150" s="152"/>
      <c r="F150" s="152"/>
      <c r="G150" s="152"/>
      <c r="H150" s="152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>
      <c r="A151" s="149"/>
      <c r="B151" s="152"/>
      <c r="C151" s="152"/>
      <c r="D151" s="155">
        <v>21.0</v>
      </c>
      <c r="E151" s="155">
        <v>22.0</v>
      </c>
      <c r="F151" s="155">
        <v>23.0</v>
      </c>
      <c r="G151" s="155">
        <v>24.0</v>
      </c>
      <c r="H151" s="155">
        <v>25.0</v>
      </c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>
      <c r="A152" s="149"/>
      <c r="B152" s="156" t="s">
        <v>121</v>
      </c>
      <c r="C152" s="152"/>
      <c r="D152" s="153">
        <v>82.0</v>
      </c>
      <c r="E152" s="153">
        <v>85.0</v>
      </c>
      <c r="F152" s="153">
        <v>87.0</v>
      </c>
      <c r="G152" s="153">
        <v>90.0</v>
      </c>
      <c r="H152" s="153">
        <v>93.0</v>
      </c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>
      <c r="A153" s="149"/>
      <c r="B153" s="156" t="s">
        <v>122</v>
      </c>
      <c r="C153" s="152"/>
      <c r="D153" s="152"/>
      <c r="E153" s="152"/>
      <c r="F153" s="152"/>
      <c r="G153" s="152"/>
      <c r="H153" s="152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>
      <c r="A154" s="149"/>
      <c r="B154" s="156" t="s">
        <v>137</v>
      </c>
      <c r="C154" s="152"/>
      <c r="D154" s="157">
        <f>150-D152</f>
        <v>68</v>
      </c>
      <c r="E154" s="157">
        <f>E156-E155</f>
        <v>183</v>
      </c>
      <c r="F154" s="157">
        <f t="shared" ref="F154:G154" si="8">E154-F152</f>
        <v>96</v>
      </c>
      <c r="G154" s="157">
        <f t="shared" si="8"/>
        <v>6</v>
      </c>
      <c r="H154" s="157">
        <f>H156+G154-H152</f>
        <v>113</v>
      </c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>
      <c r="A155" s="149"/>
      <c r="B155" s="156" t="s">
        <v>124</v>
      </c>
      <c r="C155" s="152"/>
      <c r="D155" s="152"/>
      <c r="E155" s="157">
        <f>E152-D154</f>
        <v>17</v>
      </c>
      <c r="F155" s="152"/>
      <c r="G155" s="152"/>
      <c r="H155" s="157">
        <v>93.0</v>
      </c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>
      <c r="A156" s="149"/>
      <c r="B156" s="156" t="s">
        <v>125</v>
      </c>
      <c r="C156" s="152"/>
      <c r="D156" s="152"/>
      <c r="E156" s="157">
        <v>200.0</v>
      </c>
      <c r="F156" s="152"/>
      <c r="G156" s="152"/>
      <c r="H156" s="157">
        <v>200.0</v>
      </c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>
      <c r="A157" s="149"/>
      <c r="B157" s="156" t="s">
        <v>126</v>
      </c>
      <c r="C157" s="152"/>
      <c r="D157" s="152"/>
      <c r="E157" s="157">
        <v>200.0</v>
      </c>
      <c r="F157" s="152"/>
      <c r="G157" s="152"/>
      <c r="H157" s="157">
        <v>200.0</v>
      </c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>
      <c r="A158" s="149"/>
      <c r="B158" s="156" t="s">
        <v>138</v>
      </c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>
      <c r="A159" s="149"/>
      <c r="B159" s="152"/>
      <c r="C159" s="148"/>
      <c r="D159" s="148"/>
      <c r="E159" s="148"/>
      <c r="F159" s="148"/>
      <c r="G159" s="148"/>
      <c r="H159" s="148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>
      <c r="A160" s="149"/>
      <c r="B160" s="160" t="s">
        <v>128</v>
      </c>
      <c r="C160" s="156" t="s">
        <v>120</v>
      </c>
      <c r="D160" s="152"/>
      <c r="E160" s="152"/>
      <c r="F160" s="152"/>
      <c r="G160" s="152"/>
      <c r="H160" s="152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>
      <c r="A161" s="149"/>
      <c r="B161" s="152"/>
      <c r="C161" s="152"/>
      <c r="D161" s="155">
        <v>21.0</v>
      </c>
      <c r="E161" s="155">
        <v>22.0</v>
      </c>
      <c r="F161" s="155">
        <v>23.0</v>
      </c>
      <c r="G161" s="155">
        <v>24.0</v>
      </c>
      <c r="H161" s="155">
        <v>25.0</v>
      </c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>
      <c r="A162" s="149"/>
      <c r="B162" s="156" t="s">
        <v>121</v>
      </c>
      <c r="C162" s="152"/>
      <c r="D162" s="152"/>
      <c r="E162" s="157">
        <v>1000.0</v>
      </c>
      <c r="F162" s="152"/>
      <c r="G162" s="152"/>
      <c r="H162" s="157">
        <v>1000.0</v>
      </c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>
      <c r="A163" s="149"/>
      <c r="B163" s="156" t="s">
        <v>122</v>
      </c>
      <c r="C163" s="152"/>
      <c r="D163" s="152"/>
      <c r="E163" s="152"/>
      <c r="F163" s="152"/>
      <c r="G163" s="152"/>
      <c r="H163" s="152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>
      <c r="A164" s="149"/>
      <c r="B164" s="156" t="s">
        <v>130</v>
      </c>
      <c r="C164" s="152"/>
      <c r="D164" s="157">
        <v>450.0</v>
      </c>
      <c r="E164" s="157">
        <v>450.0</v>
      </c>
      <c r="F164" s="157">
        <v>450.0</v>
      </c>
      <c r="G164" s="157">
        <v>450.0</v>
      </c>
      <c r="H164" s="157">
        <v>450.0</v>
      </c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>
      <c r="A165" s="149"/>
      <c r="B165" s="156" t="s">
        <v>124</v>
      </c>
      <c r="C165" s="152"/>
      <c r="D165" s="152"/>
      <c r="E165" s="157">
        <v>550.0</v>
      </c>
      <c r="F165" s="152"/>
      <c r="G165" s="152"/>
      <c r="H165" s="157">
        <v>550.0</v>
      </c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>
      <c r="A166" s="149"/>
      <c r="B166" s="156" t="s">
        <v>125</v>
      </c>
      <c r="C166" s="152"/>
      <c r="D166" s="152"/>
      <c r="E166" s="157">
        <v>1000.0</v>
      </c>
      <c r="F166" s="152"/>
      <c r="G166" s="152"/>
      <c r="H166" s="152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>
      <c r="A167" s="149"/>
      <c r="B167" s="156" t="s">
        <v>126</v>
      </c>
      <c r="C167" s="152"/>
      <c r="D167" s="157">
        <v>1000.0</v>
      </c>
      <c r="E167" s="152"/>
      <c r="F167" s="152"/>
      <c r="G167" s="157">
        <v>1000.0</v>
      </c>
      <c r="H167" s="152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>
      <c r="A168" s="149"/>
      <c r="B168" s="156" t="s">
        <v>131</v>
      </c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>
      <c r="A171" s="146"/>
      <c r="B171" s="147" t="s">
        <v>139</v>
      </c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</row>
    <row r="172">
      <c r="A172" s="143"/>
      <c r="B172" s="148"/>
      <c r="C172" s="148"/>
      <c r="D172" s="148"/>
      <c r="E172" s="148"/>
      <c r="F172" s="148"/>
      <c r="G172" s="148"/>
      <c r="H172" s="148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>
      <c r="A173" s="149"/>
      <c r="B173" s="151" t="s">
        <v>83</v>
      </c>
      <c r="C173" s="152"/>
      <c r="D173" s="155">
        <v>21.0</v>
      </c>
      <c r="E173" s="155">
        <v>22.0</v>
      </c>
      <c r="F173" s="155">
        <v>23.0</v>
      </c>
      <c r="G173" s="155">
        <v>24.0</v>
      </c>
      <c r="H173" s="155">
        <v>25.0</v>
      </c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>
      <c r="A174" s="149"/>
      <c r="B174" s="152"/>
      <c r="C174" s="152"/>
      <c r="D174" s="153">
        <v>51.0</v>
      </c>
      <c r="E174" s="153">
        <v>38.0</v>
      </c>
      <c r="F174" s="153">
        <v>41.0</v>
      </c>
      <c r="G174" s="153">
        <v>39.0</v>
      </c>
      <c r="H174" s="153">
        <v>52.0</v>
      </c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>
      <c r="A175" s="143"/>
      <c r="B175" s="148"/>
      <c r="C175" s="152"/>
      <c r="D175" s="152"/>
      <c r="E175" s="152"/>
      <c r="F175" s="152"/>
      <c r="G175" s="152"/>
      <c r="H175" s="152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>
      <c r="A176" s="149"/>
      <c r="B176" s="160" t="s">
        <v>128</v>
      </c>
      <c r="C176" s="156" t="s">
        <v>120</v>
      </c>
      <c r="D176" s="152"/>
      <c r="E176" s="152"/>
      <c r="F176" s="152"/>
      <c r="G176" s="152"/>
      <c r="H176" s="152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>
      <c r="A177" s="149"/>
      <c r="B177" s="152"/>
      <c r="C177" s="152"/>
      <c r="D177" s="155">
        <v>21.0</v>
      </c>
      <c r="E177" s="155">
        <v>22.0</v>
      </c>
      <c r="F177" s="155">
        <v>23.0</v>
      </c>
      <c r="G177" s="155">
        <v>24.0</v>
      </c>
      <c r="H177" s="155">
        <v>25.0</v>
      </c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>
      <c r="A178" s="149"/>
      <c r="B178" s="156" t="s">
        <v>121</v>
      </c>
      <c r="C178" s="152"/>
      <c r="D178" s="153">
        <v>51.0</v>
      </c>
      <c r="E178" s="153">
        <v>38.0</v>
      </c>
      <c r="F178" s="153">
        <v>41.0</v>
      </c>
      <c r="G178" s="153">
        <v>39.0</v>
      </c>
      <c r="H178" s="153">
        <v>52.0</v>
      </c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>
      <c r="A179" s="149"/>
      <c r="B179" s="156" t="s">
        <v>122</v>
      </c>
      <c r="C179" s="152"/>
      <c r="D179" s="152"/>
      <c r="E179" s="152"/>
      <c r="F179" s="152"/>
      <c r="G179" s="152"/>
      <c r="H179" s="152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>
      <c r="A180" s="149"/>
      <c r="B180" s="156" t="s">
        <v>130</v>
      </c>
      <c r="C180" s="152"/>
      <c r="D180" s="157">
        <f>450-D178</f>
        <v>399</v>
      </c>
      <c r="E180" s="157">
        <f t="shared" ref="E180:H180" si="9">D180-E178</f>
        <v>361</v>
      </c>
      <c r="F180" s="157">
        <f t="shared" si="9"/>
        <v>320</v>
      </c>
      <c r="G180" s="157">
        <f t="shared" si="9"/>
        <v>281</v>
      </c>
      <c r="H180" s="157">
        <f t="shared" si="9"/>
        <v>229</v>
      </c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>
      <c r="A181" s="149"/>
      <c r="B181" s="156" t="s">
        <v>124</v>
      </c>
      <c r="C181" s="152"/>
      <c r="D181" s="152"/>
      <c r="E181" s="152"/>
      <c r="F181" s="152"/>
      <c r="G181" s="152"/>
      <c r="H181" s="152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>
      <c r="A182" s="149"/>
      <c r="B182" s="156" t="s">
        <v>125</v>
      </c>
      <c r="C182" s="152"/>
      <c r="D182" s="152"/>
      <c r="E182" s="152"/>
      <c r="F182" s="152"/>
      <c r="G182" s="152"/>
      <c r="H182" s="152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>
      <c r="A183" s="149"/>
      <c r="B183" s="156" t="s">
        <v>126</v>
      </c>
      <c r="C183" s="152"/>
      <c r="D183" s="152"/>
      <c r="E183" s="152"/>
      <c r="F183" s="152"/>
      <c r="G183" s="152"/>
      <c r="H183" s="152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>
      <c r="A184" s="149"/>
      <c r="B184" s="156" t="s">
        <v>131</v>
      </c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>
      <c r="A185" s="143"/>
      <c r="B185" s="148"/>
      <c r="C185" s="148"/>
      <c r="D185" s="148"/>
      <c r="E185" s="148"/>
      <c r="F185" s="148"/>
      <c r="G185" s="148"/>
      <c r="H185" s="148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>
      <c r="A186" s="149"/>
      <c r="B186" s="160" t="s">
        <v>136</v>
      </c>
      <c r="C186" s="156" t="s">
        <v>120</v>
      </c>
      <c r="D186" s="152"/>
      <c r="E186" s="152"/>
      <c r="F186" s="152"/>
      <c r="G186" s="152"/>
      <c r="H186" s="152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>
      <c r="A187" s="149"/>
      <c r="B187" s="152"/>
      <c r="C187" s="152"/>
      <c r="D187" s="155">
        <v>21.0</v>
      </c>
      <c r="E187" s="155">
        <v>22.0</v>
      </c>
      <c r="F187" s="155">
        <v>23.0</v>
      </c>
      <c r="G187" s="155">
        <v>24.0</v>
      </c>
      <c r="H187" s="155">
        <v>25.0</v>
      </c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>
      <c r="A188" s="149"/>
      <c r="B188" s="156" t="s">
        <v>121</v>
      </c>
      <c r="C188" s="152"/>
      <c r="D188" s="153">
        <v>51.0</v>
      </c>
      <c r="E188" s="153">
        <v>38.0</v>
      </c>
      <c r="F188" s="153">
        <v>41.0</v>
      </c>
      <c r="G188" s="153">
        <v>39.0</v>
      </c>
      <c r="H188" s="153">
        <v>52.0</v>
      </c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>
      <c r="A189" s="149"/>
      <c r="B189" s="156" t="s">
        <v>122</v>
      </c>
      <c r="C189" s="152"/>
      <c r="D189" s="152"/>
      <c r="E189" s="152"/>
      <c r="F189" s="152"/>
      <c r="G189" s="152"/>
      <c r="H189" s="152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>
      <c r="A190" s="149"/>
      <c r="B190" s="156" t="s">
        <v>137</v>
      </c>
      <c r="C190" s="152"/>
      <c r="D190" s="157">
        <f>150-D188</f>
        <v>99</v>
      </c>
      <c r="E190" s="157">
        <f t="shared" ref="E190:F190" si="10">D190-E188</f>
        <v>61</v>
      </c>
      <c r="F190" s="157">
        <f t="shared" si="10"/>
        <v>20</v>
      </c>
      <c r="G190" s="157">
        <f>200-G191</f>
        <v>181</v>
      </c>
      <c r="H190" s="157">
        <f>G190-H188</f>
        <v>129</v>
      </c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>
      <c r="A191" s="149"/>
      <c r="B191" s="156" t="s">
        <v>124</v>
      </c>
      <c r="C191" s="152"/>
      <c r="D191" s="152"/>
      <c r="E191" s="152"/>
      <c r="F191" s="152"/>
      <c r="G191" s="157">
        <f>G188-F190</f>
        <v>19</v>
      </c>
      <c r="H191" s="157">
        <v>40.0</v>
      </c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>
      <c r="A192" s="149"/>
      <c r="B192" s="156" t="s">
        <v>125</v>
      </c>
      <c r="C192" s="152"/>
      <c r="D192" s="152"/>
      <c r="E192" s="152"/>
      <c r="F192" s="152"/>
      <c r="G192" s="157">
        <v>200.0</v>
      </c>
      <c r="H192" s="152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>
      <c r="A193" s="149"/>
      <c r="B193" s="156" t="s">
        <v>126</v>
      </c>
      <c r="C193" s="152"/>
      <c r="D193" s="152"/>
      <c r="E193" s="152"/>
      <c r="F193" s="152"/>
      <c r="G193" s="157">
        <v>200.0</v>
      </c>
      <c r="H193" s="152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>
      <c r="A194" s="149"/>
      <c r="B194" s="156" t="s">
        <v>138</v>
      </c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>
      <c r="A195" s="149"/>
      <c r="B195" s="152"/>
      <c r="C195" s="148"/>
      <c r="D195" s="148"/>
      <c r="E195" s="148"/>
      <c r="F195" s="148"/>
      <c r="G195" s="148"/>
      <c r="H195" s="148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>
      <c r="A196" s="149"/>
      <c r="B196" s="160" t="s">
        <v>128</v>
      </c>
      <c r="C196" s="156" t="s">
        <v>120</v>
      </c>
      <c r="D196" s="152"/>
      <c r="E196" s="152"/>
      <c r="F196" s="152"/>
      <c r="G196" s="152"/>
      <c r="H196" s="152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>
      <c r="A197" s="149"/>
      <c r="B197" s="152"/>
      <c r="C197" s="152"/>
      <c r="D197" s="155">
        <v>21.0</v>
      </c>
      <c r="E197" s="155">
        <v>22.0</v>
      </c>
      <c r="F197" s="155">
        <v>23.0</v>
      </c>
      <c r="G197" s="155">
        <v>24.0</v>
      </c>
      <c r="H197" s="155">
        <v>25.0</v>
      </c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>
      <c r="A198" s="149"/>
      <c r="B198" s="156" t="s">
        <v>121</v>
      </c>
      <c r="C198" s="152"/>
      <c r="D198" s="152"/>
      <c r="E198" s="152"/>
      <c r="F198" s="152"/>
      <c r="G198" s="157">
        <v>1000.0</v>
      </c>
      <c r="H198" s="152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>
      <c r="A199" s="149"/>
      <c r="B199" s="156" t="s">
        <v>122</v>
      </c>
      <c r="C199" s="152"/>
      <c r="D199" s="152"/>
      <c r="E199" s="152"/>
      <c r="F199" s="152"/>
      <c r="G199" s="152"/>
      <c r="H199" s="152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>
      <c r="A200" s="149"/>
      <c r="B200" s="156" t="s">
        <v>130</v>
      </c>
      <c r="C200" s="152"/>
      <c r="D200" s="157">
        <v>450.0</v>
      </c>
      <c r="E200" s="157">
        <v>450.0</v>
      </c>
      <c r="F200" s="157">
        <v>450.0</v>
      </c>
      <c r="G200" s="157">
        <v>450.0</v>
      </c>
      <c r="H200" s="152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>
      <c r="A201" s="149"/>
      <c r="B201" s="156" t="s">
        <v>124</v>
      </c>
      <c r="C201" s="152"/>
      <c r="D201" s="152"/>
      <c r="E201" s="152"/>
      <c r="F201" s="152"/>
      <c r="G201" s="157">
        <v>550.0</v>
      </c>
      <c r="H201" s="152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>
      <c r="A202" s="149"/>
      <c r="B202" s="156" t="s">
        <v>125</v>
      </c>
      <c r="C202" s="152"/>
      <c r="D202" s="152"/>
      <c r="E202" s="152"/>
      <c r="F202" s="152"/>
      <c r="G202" s="157">
        <v>1000.0</v>
      </c>
      <c r="H202" s="152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>
      <c r="A203" s="149"/>
      <c r="B203" s="156" t="s">
        <v>126</v>
      </c>
      <c r="C203" s="152"/>
      <c r="D203" s="152"/>
      <c r="E203" s="152"/>
      <c r="F203" s="152"/>
      <c r="G203" s="152"/>
      <c r="H203" s="152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>
      <c r="A204" s="149"/>
      <c r="B204" s="156" t="s">
        <v>131</v>
      </c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  <row r="994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</row>
    <row r="995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</row>
    <row r="996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</row>
    <row r="997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</row>
    <row r="998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</row>
    <row r="999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</row>
    <row r="1000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33"/>
  </cols>
  <sheetData>
    <row r="1">
      <c r="A1" s="164" t="s">
        <v>140</v>
      </c>
      <c r="B1" s="165"/>
      <c r="C1" s="165"/>
      <c r="D1" s="165"/>
      <c r="E1" s="165"/>
      <c r="F1" s="165"/>
      <c r="G1" s="165"/>
    </row>
    <row r="2">
      <c r="A2" s="166" t="s">
        <v>141</v>
      </c>
      <c r="B2" s="166" t="s">
        <v>14</v>
      </c>
      <c r="C2" s="167"/>
      <c r="D2" s="167" t="s">
        <v>142</v>
      </c>
      <c r="E2" s="167" t="s">
        <v>143</v>
      </c>
      <c r="F2" s="167"/>
      <c r="G2" s="165"/>
    </row>
    <row r="3">
      <c r="A3" s="167"/>
      <c r="B3" s="168">
        <v>21.0</v>
      </c>
      <c r="C3" s="168">
        <v>22.0</v>
      </c>
      <c r="D3" s="168">
        <v>23.0</v>
      </c>
      <c r="E3" s="168">
        <v>24.0</v>
      </c>
      <c r="F3" s="168">
        <v>25.0</v>
      </c>
      <c r="G3" s="165"/>
    </row>
    <row r="4">
      <c r="A4" s="167" t="s">
        <v>31</v>
      </c>
      <c r="B4" s="169">
        <v>1275.0</v>
      </c>
      <c r="C4" s="169">
        <v>1185.0</v>
      </c>
      <c r="D4" s="169">
        <v>1203.0</v>
      </c>
      <c r="E4" s="169">
        <v>1192.0</v>
      </c>
      <c r="F4" s="169">
        <v>1340.0</v>
      </c>
      <c r="G4" s="165"/>
    </row>
    <row r="5">
      <c r="A5" s="167" t="s">
        <v>144</v>
      </c>
      <c r="B5" s="168">
        <v>1000.0</v>
      </c>
      <c r="C5" s="168">
        <v>1000.0</v>
      </c>
      <c r="D5" s="168">
        <v>2000.0</v>
      </c>
      <c r="E5" s="168">
        <v>1000.0</v>
      </c>
      <c r="F5" s="168">
        <v>1000.0</v>
      </c>
      <c r="G5" s="165"/>
    </row>
    <row r="6">
      <c r="A6" s="167" t="s">
        <v>145</v>
      </c>
      <c r="B6" s="168">
        <f>450+B8-MAX(B4,B5)</f>
        <v>175</v>
      </c>
      <c r="C6" s="168">
        <f>B6+C8-MAX(C$4,C$5)</f>
        <v>990</v>
      </c>
      <c r="D6" s="168">
        <f t="shared" ref="D6:F6" si="1">C6+D8-MAX(D4,D5)</f>
        <v>990</v>
      </c>
      <c r="E6" s="168">
        <f t="shared" si="1"/>
        <v>798</v>
      </c>
      <c r="F6" s="168">
        <f t="shared" si="1"/>
        <v>458</v>
      </c>
      <c r="G6" s="165"/>
    </row>
    <row r="7">
      <c r="A7" s="167" t="s">
        <v>146</v>
      </c>
      <c r="B7" s="168">
        <f>450+B8-B5</f>
        <v>450</v>
      </c>
      <c r="C7" s="168">
        <f t="shared" ref="C7:F7" si="2">C8-C5</f>
        <v>1000</v>
      </c>
      <c r="D7" s="168">
        <f t="shared" si="2"/>
        <v>0</v>
      </c>
      <c r="E7" s="168">
        <f t="shared" si="2"/>
        <v>0</v>
      </c>
      <c r="F7" s="168">
        <f t="shared" si="2"/>
        <v>0</v>
      </c>
      <c r="G7" s="165"/>
    </row>
    <row r="8">
      <c r="A8" s="167" t="s">
        <v>147</v>
      </c>
      <c r="B8" s="168">
        <v>1000.0</v>
      </c>
      <c r="C8" s="168">
        <v>2000.0</v>
      </c>
      <c r="D8" s="168">
        <v>2000.0</v>
      </c>
      <c r="E8" s="168">
        <v>1000.0</v>
      </c>
      <c r="F8" s="168">
        <v>1000.0</v>
      </c>
      <c r="G8" s="165"/>
    </row>
    <row r="9">
      <c r="A9" s="165"/>
      <c r="B9" s="165"/>
      <c r="C9" s="165"/>
      <c r="D9" s="165"/>
      <c r="E9" s="165"/>
      <c r="F9" s="165"/>
      <c r="G9" s="165"/>
    </row>
    <row r="10">
      <c r="A10" s="165"/>
      <c r="B10" s="165"/>
      <c r="C10" s="165"/>
      <c r="D10" s="165" t="s">
        <v>148</v>
      </c>
      <c r="E10" s="165" t="s">
        <v>149</v>
      </c>
      <c r="F10" s="165"/>
      <c r="G10" s="165"/>
    </row>
    <row r="11">
      <c r="A11" s="166" t="s">
        <v>150</v>
      </c>
      <c r="B11" s="166" t="s">
        <v>14</v>
      </c>
      <c r="C11" s="167"/>
      <c r="D11" s="167"/>
      <c r="E11" s="167"/>
      <c r="F11" s="167"/>
      <c r="G11" s="165"/>
    </row>
    <row r="12">
      <c r="A12" s="167"/>
      <c r="B12" s="168">
        <v>21.0</v>
      </c>
      <c r="C12" s="168">
        <v>22.0</v>
      </c>
      <c r="D12" s="168">
        <v>23.0</v>
      </c>
      <c r="E12" s="168">
        <v>24.0</v>
      </c>
      <c r="F12" s="168">
        <v>25.0</v>
      </c>
      <c r="G12" s="165"/>
    </row>
    <row r="13">
      <c r="A13" s="167" t="s">
        <v>31</v>
      </c>
      <c r="B13" s="169">
        <v>133.0</v>
      </c>
      <c r="C13" s="169">
        <v>123.0</v>
      </c>
      <c r="D13" s="169">
        <v>128.0</v>
      </c>
      <c r="E13" s="169">
        <v>129.0</v>
      </c>
      <c r="F13" s="169">
        <v>145.0</v>
      </c>
      <c r="G13" s="165"/>
    </row>
    <row r="14">
      <c r="A14" s="167" t="s">
        <v>144</v>
      </c>
      <c r="B14" s="168">
        <v>0.0</v>
      </c>
      <c r="C14" s="168">
        <v>200.0</v>
      </c>
      <c r="D14" s="168">
        <v>200.0</v>
      </c>
      <c r="E14" s="168">
        <v>0.0</v>
      </c>
      <c r="F14" s="168">
        <v>200.0</v>
      </c>
      <c r="G14" s="165"/>
    </row>
    <row r="15">
      <c r="A15" s="167" t="s">
        <v>151</v>
      </c>
      <c r="B15" s="168">
        <f>150+B17-MAX(B13,B14)</f>
        <v>17</v>
      </c>
      <c r="C15" s="168">
        <f t="shared" ref="C15:F15" si="3">B15+C17-MAX(C13,C14)</f>
        <v>17</v>
      </c>
      <c r="D15" s="168">
        <f t="shared" si="3"/>
        <v>17</v>
      </c>
      <c r="E15" s="168">
        <f t="shared" si="3"/>
        <v>88</v>
      </c>
      <c r="F15" s="168">
        <f t="shared" si="3"/>
        <v>88</v>
      </c>
      <c r="G15" s="165"/>
    </row>
    <row r="16">
      <c r="A16" s="167" t="s">
        <v>146</v>
      </c>
      <c r="B16" s="168">
        <f>150+B17-B14</f>
        <v>150</v>
      </c>
      <c r="C16" s="168">
        <f t="shared" ref="C16:F16" si="4">C17-C14</f>
        <v>0</v>
      </c>
      <c r="D16" s="168">
        <f t="shared" si="4"/>
        <v>0</v>
      </c>
      <c r="E16" s="168">
        <f t="shared" si="4"/>
        <v>200</v>
      </c>
      <c r="F16" s="168">
        <f t="shared" si="4"/>
        <v>0</v>
      </c>
      <c r="G16" s="165"/>
    </row>
    <row r="17">
      <c r="A17" s="167" t="s">
        <v>147</v>
      </c>
      <c r="B17" s="168">
        <v>0.0</v>
      </c>
      <c r="C17" s="168">
        <v>200.0</v>
      </c>
      <c r="D17" s="168">
        <v>200.0</v>
      </c>
      <c r="E17" s="168">
        <v>200.0</v>
      </c>
      <c r="F17" s="168">
        <v>200.0</v>
      </c>
      <c r="G17" s="165"/>
    </row>
    <row r="18">
      <c r="A18" s="165"/>
      <c r="B18" s="165"/>
      <c r="C18" s="165"/>
      <c r="D18" s="165"/>
      <c r="E18" s="165"/>
      <c r="F18" s="165"/>
      <c r="G18" s="165"/>
    </row>
    <row r="19">
      <c r="A19" s="165"/>
      <c r="B19" s="165"/>
      <c r="C19" s="165"/>
      <c r="D19" s="170" t="s">
        <v>152</v>
      </c>
      <c r="E19" s="165"/>
      <c r="F19" s="165" t="s">
        <v>153</v>
      </c>
      <c r="G19" s="171">
        <v>25.0</v>
      </c>
    </row>
    <row r="20">
      <c r="A20" s="166" t="s">
        <v>154</v>
      </c>
      <c r="B20" s="166" t="s">
        <v>14</v>
      </c>
      <c r="C20" s="167"/>
      <c r="D20" s="167"/>
      <c r="E20" s="167"/>
      <c r="F20" s="167"/>
      <c r="G20" s="165"/>
    </row>
    <row r="21">
      <c r="A21" s="167"/>
      <c r="B21" s="168">
        <v>21.0</v>
      </c>
      <c r="C21" s="168">
        <v>22.0</v>
      </c>
      <c r="D21" s="168">
        <v>23.0</v>
      </c>
      <c r="E21" s="168">
        <v>24.0</v>
      </c>
      <c r="F21" s="168">
        <v>25.0</v>
      </c>
      <c r="G21" s="165"/>
    </row>
    <row r="22">
      <c r="A22" s="167" t="s">
        <v>31</v>
      </c>
      <c r="B22" s="172">
        <v>492.0</v>
      </c>
      <c r="C22" s="172">
        <v>509.0</v>
      </c>
      <c r="D22" s="172">
        <v>533.0</v>
      </c>
      <c r="E22" s="172">
        <v>497.0</v>
      </c>
      <c r="F22" s="172">
        <v>482.0</v>
      </c>
      <c r="G22" s="165"/>
    </row>
    <row r="23">
      <c r="A23" s="167" t="s">
        <v>144</v>
      </c>
      <c r="B23" s="173">
        <v>751.0</v>
      </c>
      <c r="C23" s="173">
        <v>0.0</v>
      </c>
      <c r="D23" s="173">
        <v>994.0</v>
      </c>
      <c r="E23" s="173">
        <v>0.0</v>
      </c>
      <c r="F23" s="173">
        <v>410.0</v>
      </c>
      <c r="G23" s="165"/>
    </row>
    <row r="24">
      <c r="A24" s="167" t="s">
        <v>155</v>
      </c>
      <c r="B24" s="168">
        <f>200+B26-MAX(B22,B23)</f>
        <v>450</v>
      </c>
      <c r="C24" s="168">
        <f>B24-MAX(C22,C23)</f>
        <v>-59</v>
      </c>
      <c r="D24" s="168">
        <f t="shared" ref="D24:F24" si="5">C24+D26-MAX(D22,D23)</f>
        <v>424</v>
      </c>
      <c r="E24" s="168">
        <f t="shared" si="5"/>
        <v>-73</v>
      </c>
      <c r="F24" s="168">
        <f t="shared" si="5"/>
        <v>-145</v>
      </c>
      <c r="G24" s="165"/>
    </row>
    <row r="25">
      <c r="A25" s="167" t="s">
        <v>146</v>
      </c>
      <c r="B25" s="167"/>
      <c r="C25" s="167"/>
      <c r="D25" s="168">
        <f>D26-SUM(D23,E23)</f>
        <v>483</v>
      </c>
      <c r="E25" s="167"/>
      <c r="F25" s="168">
        <f>F26-F23</f>
        <v>0</v>
      </c>
      <c r="G25" s="165"/>
    </row>
    <row r="26">
      <c r="A26" s="167" t="s">
        <v>147</v>
      </c>
      <c r="B26" s="168">
        <f>B23+225+G19</f>
        <v>1001</v>
      </c>
      <c r="C26" s="167"/>
      <c r="D26" s="168">
        <f>994+483</f>
        <v>1477</v>
      </c>
      <c r="E26" s="167"/>
      <c r="F26" s="168">
        <v>410.0</v>
      </c>
      <c r="G26" s="165"/>
    </row>
    <row r="27">
      <c r="A27" s="165"/>
      <c r="B27" s="165"/>
      <c r="C27" s="165"/>
      <c r="D27" s="165"/>
      <c r="E27" s="165"/>
      <c r="F27" s="165"/>
      <c r="G27" s="165"/>
    </row>
    <row r="28">
      <c r="A28" s="165"/>
      <c r="B28" s="165"/>
      <c r="C28" s="165"/>
      <c r="D28" s="165" t="s">
        <v>156</v>
      </c>
      <c r="E28" s="165" t="s">
        <v>153</v>
      </c>
      <c r="F28" s="171">
        <v>50.0</v>
      </c>
      <c r="G28" s="165"/>
    </row>
    <row r="29">
      <c r="A29" s="166" t="s">
        <v>157</v>
      </c>
      <c r="B29" s="166" t="s">
        <v>14</v>
      </c>
      <c r="C29" s="167"/>
      <c r="D29" s="167"/>
      <c r="E29" s="167"/>
      <c r="F29" s="167"/>
      <c r="G29" s="165"/>
    </row>
    <row r="30">
      <c r="A30" s="167"/>
      <c r="B30" s="168">
        <v>21.0</v>
      </c>
      <c r="C30" s="168">
        <v>22.0</v>
      </c>
      <c r="D30" s="168">
        <v>23.0</v>
      </c>
      <c r="E30" s="168">
        <v>24.0</v>
      </c>
      <c r="F30" s="168">
        <v>25.0</v>
      </c>
      <c r="G30" s="165"/>
    </row>
    <row r="31">
      <c r="A31" s="167" t="s">
        <v>31</v>
      </c>
      <c r="B31" s="169">
        <v>1459.0</v>
      </c>
      <c r="C31" s="169">
        <v>1442.0</v>
      </c>
      <c r="D31" s="169">
        <v>1472.0</v>
      </c>
      <c r="E31" s="169">
        <v>1375.0</v>
      </c>
      <c r="F31" s="169">
        <v>1458.0</v>
      </c>
      <c r="G31" s="165"/>
    </row>
    <row r="32">
      <c r="A32" s="167" t="s">
        <v>144</v>
      </c>
      <c r="B32" s="168">
        <v>1508.0</v>
      </c>
      <c r="C32" s="169">
        <v>1442.0</v>
      </c>
      <c r="D32" s="169">
        <v>1472.0</v>
      </c>
      <c r="E32" s="169">
        <v>1375.0</v>
      </c>
      <c r="F32" s="169">
        <v>1458.0</v>
      </c>
      <c r="G32" s="165"/>
    </row>
    <row r="33">
      <c r="A33" s="167" t="s">
        <v>158</v>
      </c>
      <c r="B33" s="168">
        <f>650+B35-MAX(B31,B32)</f>
        <v>650</v>
      </c>
      <c r="C33" s="168">
        <f t="shared" ref="C33:F33" si="6">B33+C35-MAX(C31,C32)</f>
        <v>650</v>
      </c>
      <c r="D33" s="168">
        <f t="shared" si="6"/>
        <v>650</v>
      </c>
      <c r="E33" s="168">
        <f t="shared" si="6"/>
        <v>650</v>
      </c>
      <c r="F33" s="168">
        <f t="shared" si="6"/>
        <v>650</v>
      </c>
      <c r="G33" s="165"/>
    </row>
    <row r="34">
      <c r="A34" s="167" t="s">
        <v>146</v>
      </c>
      <c r="B34" s="168">
        <f>650+B35-B32</f>
        <v>650</v>
      </c>
      <c r="C34" s="168">
        <f t="shared" ref="C34:F34" si="7">C35-C32</f>
        <v>0</v>
      </c>
      <c r="D34" s="168">
        <f t="shared" si="7"/>
        <v>0</v>
      </c>
      <c r="E34" s="168">
        <f t="shared" si="7"/>
        <v>0</v>
      </c>
      <c r="F34" s="168">
        <f t="shared" si="7"/>
        <v>0</v>
      </c>
      <c r="G34" s="165"/>
    </row>
    <row r="35">
      <c r="A35" s="167" t="s">
        <v>147</v>
      </c>
      <c r="B35" s="168">
        <f>1458+F28</f>
        <v>1508</v>
      </c>
      <c r="C35" s="169">
        <v>1442.0</v>
      </c>
      <c r="D35" s="169">
        <v>1472.0</v>
      </c>
      <c r="E35" s="169">
        <v>1375.0</v>
      </c>
      <c r="F35" s="169">
        <v>1458.0</v>
      </c>
      <c r="G35" s="16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21.11"/>
    <col customWidth="1" min="13" max="13" width="15.33"/>
    <col customWidth="1" min="14" max="15" width="14.44"/>
  </cols>
  <sheetData>
    <row r="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>
      <c r="A3" s="144"/>
      <c r="B3" s="144"/>
      <c r="C3" s="144"/>
      <c r="D3" s="144"/>
      <c r="E3" s="144"/>
      <c r="F3" s="144"/>
      <c r="G3" s="144"/>
      <c r="H3" s="174" t="s">
        <v>159</v>
      </c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>
      <c r="A4" s="143"/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>
      <c r="A5" s="143"/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>
      <c r="A8" s="143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>
      <c r="A10" s="143"/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>
      <c r="A11" s="143"/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>
      <c r="A12" s="143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>
      <c r="A13" s="143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>
      <c r="A15" s="143"/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>
      <c r="A16" s="143"/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>
      <c r="A17" s="143"/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>
      <c r="A18" s="143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>
      <c r="A19" s="143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>
      <c r="A20" s="143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>
      <c r="A21" s="143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>
      <c r="A27" s="143"/>
      <c r="B27" s="175" t="s">
        <v>160</v>
      </c>
      <c r="C27" s="148"/>
      <c r="D27" s="148"/>
      <c r="E27" s="148"/>
      <c r="F27" s="148"/>
      <c r="G27" s="148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>
      <c r="A28" s="149"/>
      <c r="B28" s="150" t="s">
        <v>161</v>
      </c>
      <c r="C28" s="152"/>
      <c r="D28" s="152"/>
      <c r="E28" s="152"/>
      <c r="F28" s="152"/>
      <c r="G28" s="152"/>
      <c r="H28" s="143"/>
      <c r="I28" s="143"/>
      <c r="J28" s="143"/>
      <c r="K28" s="143"/>
      <c r="L28" s="176" t="s">
        <v>162</v>
      </c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>
      <c r="A29" s="149"/>
      <c r="B29" s="150" t="s">
        <v>163</v>
      </c>
      <c r="C29" s="150" t="s">
        <v>164</v>
      </c>
      <c r="D29" s="150" t="s">
        <v>165</v>
      </c>
      <c r="E29" s="150" t="s">
        <v>166</v>
      </c>
      <c r="F29" s="150" t="s">
        <v>167</v>
      </c>
      <c r="G29" s="150" t="s">
        <v>168</v>
      </c>
      <c r="H29" s="143"/>
      <c r="I29" s="143"/>
      <c r="J29" s="143"/>
      <c r="K29" s="143"/>
      <c r="L29" s="148"/>
      <c r="M29" s="148"/>
      <c r="N29" s="148"/>
      <c r="O29" s="148"/>
      <c r="P29" s="148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>
      <c r="A30" s="149"/>
      <c r="B30" s="150" t="s">
        <v>169</v>
      </c>
      <c r="C30" s="177">
        <v>1275.0</v>
      </c>
      <c r="D30" s="177">
        <v>1185.0</v>
      </c>
      <c r="E30" s="177">
        <v>1203.0</v>
      </c>
      <c r="F30" s="177">
        <v>1192.0</v>
      </c>
      <c r="G30" s="177">
        <v>1340.0</v>
      </c>
      <c r="H30" s="143"/>
      <c r="I30" s="143"/>
      <c r="J30" s="143"/>
      <c r="K30" s="149"/>
      <c r="L30" s="150" t="s">
        <v>170</v>
      </c>
      <c r="M30" s="150" t="s">
        <v>171</v>
      </c>
      <c r="N30" s="150" t="s">
        <v>172</v>
      </c>
      <c r="O30" s="150" t="s">
        <v>173</v>
      </c>
      <c r="P30" s="175" t="s">
        <v>174</v>
      </c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>
      <c r="A31" s="149"/>
      <c r="B31" s="150" t="s">
        <v>175</v>
      </c>
      <c r="C31" s="177">
        <v>133.0</v>
      </c>
      <c r="D31" s="177">
        <v>123.0</v>
      </c>
      <c r="E31" s="177">
        <v>128.0</v>
      </c>
      <c r="F31" s="177">
        <v>129.0</v>
      </c>
      <c r="G31" s="177">
        <v>145.0</v>
      </c>
      <c r="H31" s="143"/>
      <c r="I31" s="143"/>
      <c r="J31" s="143"/>
      <c r="K31" s="149"/>
      <c r="L31" s="154">
        <v>1.0</v>
      </c>
      <c r="M31" s="154">
        <v>20.0</v>
      </c>
      <c r="N31" s="154">
        <v>19.0</v>
      </c>
      <c r="O31" s="154">
        <v>13.0</v>
      </c>
      <c r="P31" s="154">
        <v>0.0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>
      <c r="A32" s="149"/>
      <c r="B32" s="150" t="s">
        <v>176</v>
      </c>
      <c r="C32" s="177">
        <v>492.0</v>
      </c>
      <c r="D32" s="177">
        <v>509.0</v>
      </c>
      <c r="E32" s="177">
        <v>533.0</v>
      </c>
      <c r="F32" s="177">
        <v>497.0</v>
      </c>
      <c r="G32" s="177">
        <v>482.0</v>
      </c>
      <c r="H32" s="143"/>
      <c r="I32" s="143"/>
      <c r="J32" s="143"/>
      <c r="K32" s="149"/>
      <c r="L32" s="154">
        <v>2.0</v>
      </c>
      <c r="M32" s="154">
        <v>9.0</v>
      </c>
      <c r="N32" s="154">
        <v>22.0</v>
      </c>
      <c r="O32" s="154">
        <v>18.0</v>
      </c>
      <c r="P32" s="154">
        <v>8.0</v>
      </c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>
      <c r="A33" s="149"/>
      <c r="B33" s="150" t="s">
        <v>177</v>
      </c>
      <c r="C33" s="177">
        <v>1459.0</v>
      </c>
      <c r="D33" s="177">
        <v>1442.0</v>
      </c>
      <c r="E33" s="177">
        <v>1472.0</v>
      </c>
      <c r="F33" s="177">
        <v>1375.0</v>
      </c>
      <c r="G33" s="177">
        <v>1458.0</v>
      </c>
      <c r="H33" s="143"/>
      <c r="I33" s="143"/>
      <c r="J33" s="143"/>
      <c r="K33" s="149"/>
      <c r="L33" s="154">
        <v>3.0</v>
      </c>
      <c r="M33" s="154">
        <v>14.0</v>
      </c>
      <c r="N33" s="154">
        <v>18.0</v>
      </c>
      <c r="O33" s="154">
        <v>21.0</v>
      </c>
      <c r="P33" s="154">
        <v>0.0</v>
      </c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>
      <c r="A34" s="143"/>
      <c r="B34" s="148"/>
      <c r="C34" s="148"/>
      <c r="D34" s="148"/>
      <c r="E34" s="148"/>
      <c r="F34" s="148"/>
      <c r="G34" s="148"/>
      <c r="H34" s="148"/>
      <c r="I34" s="143"/>
      <c r="J34" s="143"/>
      <c r="K34" s="149"/>
      <c r="L34" s="154">
        <v>4.0</v>
      </c>
      <c r="M34" s="154">
        <v>21.0</v>
      </c>
      <c r="N34" s="154">
        <v>7.0</v>
      </c>
      <c r="O34" s="154">
        <v>0.0</v>
      </c>
      <c r="P34" s="154">
        <v>12.0</v>
      </c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>
      <c r="A35" s="149"/>
      <c r="B35" s="150" t="s">
        <v>178</v>
      </c>
      <c r="C35" s="152"/>
      <c r="D35" s="152"/>
      <c r="E35" s="152"/>
      <c r="F35" s="152"/>
      <c r="G35" s="152"/>
      <c r="H35" s="152"/>
      <c r="I35" s="143"/>
      <c r="J35" s="143"/>
      <c r="K35" s="149"/>
      <c r="L35" s="154">
        <v>5.0</v>
      </c>
      <c r="M35" s="154">
        <v>15.0</v>
      </c>
      <c r="N35" s="154">
        <v>15.0</v>
      </c>
      <c r="O35" s="154">
        <v>16.0</v>
      </c>
      <c r="P35" s="154">
        <v>16.0</v>
      </c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>
      <c r="A36" s="149"/>
      <c r="B36" s="152"/>
      <c r="C36" s="150" t="s">
        <v>179</v>
      </c>
      <c r="D36" s="150" t="s">
        <v>164</v>
      </c>
      <c r="E36" s="150" t="s">
        <v>165</v>
      </c>
      <c r="F36" s="150" t="s">
        <v>166</v>
      </c>
      <c r="G36" s="150" t="s">
        <v>167</v>
      </c>
      <c r="H36" s="150" t="s">
        <v>168</v>
      </c>
      <c r="I36" s="143"/>
      <c r="J36" s="143"/>
      <c r="K36" s="149"/>
      <c r="L36" s="154">
        <v>6.0</v>
      </c>
      <c r="M36" s="154">
        <v>11.0</v>
      </c>
      <c r="N36" s="154">
        <v>11.0</v>
      </c>
      <c r="O36" s="154">
        <v>0.0</v>
      </c>
      <c r="P36" s="154">
        <v>15.0</v>
      </c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>
      <c r="A37" s="149"/>
      <c r="B37" s="150" t="s">
        <v>169</v>
      </c>
      <c r="C37" s="154">
        <v>1000.0</v>
      </c>
      <c r="D37" s="154">
        <v>2000.0</v>
      </c>
      <c r="E37" s="154">
        <v>1000.0</v>
      </c>
      <c r="F37" s="154">
        <v>1000.0</v>
      </c>
      <c r="G37" s="154">
        <v>1000.0</v>
      </c>
      <c r="H37" s="154">
        <v>0.0</v>
      </c>
      <c r="I37" s="143"/>
      <c r="J37" s="143"/>
      <c r="K37" s="149"/>
      <c r="L37" s="154">
        <v>7.0</v>
      </c>
      <c r="M37" s="154">
        <v>18.0</v>
      </c>
      <c r="N37" s="154">
        <v>0.0</v>
      </c>
      <c r="O37" s="154">
        <v>3.0</v>
      </c>
      <c r="P37" s="154">
        <v>10.0</v>
      </c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>
      <c r="A38" s="149"/>
      <c r="B38" s="150" t="s">
        <v>175</v>
      </c>
      <c r="C38" s="154">
        <v>0.0</v>
      </c>
      <c r="D38" s="154">
        <v>0.0</v>
      </c>
      <c r="E38" s="154">
        <v>200.0</v>
      </c>
      <c r="F38" s="154">
        <v>200.0</v>
      </c>
      <c r="G38" s="154">
        <v>0.0</v>
      </c>
      <c r="H38" s="154">
        <v>200.0</v>
      </c>
      <c r="I38" s="143"/>
      <c r="J38" s="178" t="s">
        <v>180</v>
      </c>
      <c r="K38" s="143"/>
      <c r="L38" s="179" t="s">
        <v>163</v>
      </c>
      <c r="M38" s="180">
        <f t="shared" ref="M38:P38" si="1">SUM(M31:M37)</f>
        <v>108</v>
      </c>
      <c r="N38" s="180">
        <f t="shared" si="1"/>
        <v>92</v>
      </c>
      <c r="O38" s="180">
        <f t="shared" si="1"/>
        <v>71</v>
      </c>
      <c r="P38" s="180">
        <f t="shared" si="1"/>
        <v>61</v>
      </c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>
      <c r="A39" s="149"/>
      <c r="B39" s="150" t="s">
        <v>176</v>
      </c>
      <c r="C39" s="154">
        <v>814.0</v>
      </c>
      <c r="D39" s="154">
        <v>0.0</v>
      </c>
      <c r="E39" s="154">
        <v>1019.0</v>
      </c>
      <c r="F39" s="154">
        <v>0.0</v>
      </c>
      <c r="G39" s="154">
        <v>410.0</v>
      </c>
      <c r="H39" s="154">
        <v>0.0</v>
      </c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>
      <c r="A40" s="149"/>
      <c r="B40" s="150" t="s">
        <v>177</v>
      </c>
      <c r="C40" s="154">
        <v>1757.0</v>
      </c>
      <c r="D40" s="154">
        <v>2438.0</v>
      </c>
      <c r="E40" s="154">
        <v>2557.0</v>
      </c>
      <c r="F40" s="154">
        <v>2406.0</v>
      </c>
      <c r="G40" s="154">
        <v>2318.0</v>
      </c>
      <c r="H40" s="154">
        <v>0.0</v>
      </c>
      <c r="I40" s="143"/>
      <c r="J40" s="178" t="s">
        <v>180</v>
      </c>
      <c r="K40" s="143"/>
      <c r="L40" s="181" t="s">
        <v>181</v>
      </c>
      <c r="M40" s="148"/>
      <c r="N40" s="148"/>
      <c r="O40" s="148"/>
      <c r="P40" s="148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>
      <c r="A41" s="143"/>
      <c r="B41" s="148"/>
      <c r="C41" s="148"/>
      <c r="D41" s="148"/>
      <c r="E41" s="148"/>
      <c r="F41" s="148"/>
      <c r="G41" s="148"/>
      <c r="H41" s="143"/>
      <c r="I41" s="143"/>
      <c r="J41" s="143"/>
      <c r="K41" s="149"/>
      <c r="L41" s="150" t="s">
        <v>170</v>
      </c>
      <c r="M41" s="150" t="s">
        <v>182</v>
      </c>
      <c r="N41" s="150" t="s">
        <v>175</v>
      </c>
      <c r="O41" s="150" t="s">
        <v>176</v>
      </c>
      <c r="P41" s="175" t="s">
        <v>174</v>
      </c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>
      <c r="A42" s="149"/>
      <c r="B42" s="152"/>
      <c r="C42" s="150" t="s">
        <v>164</v>
      </c>
      <c r="D42" s="150" t="s">
        <v>165</v>
      </c>
      <c r="E42" s="150" t="s">
        <v>166</v>
      </c>
      <c r="F42" s="150" t="s">
        <v>167</v>
      </c>
      <c r="G42" s="150" t="s">
        <v>168</v>
      </c>
      <c r="H42" s="143"/>
      <c r="I42" s="143"/>
      <c r="J42" s="143"/>
      <c r="K42" s="149"/>
      <c r="L42" s="154">
        <v>1.0</v>
      </c>
      <c r="M42" s="154">
        <v>200.0</v>
      </c>
      <c r="N42" s="154">
        <v>190.0</v>
      </c>
      <c r="O42" s="154">
        <v>80.0</v>
      </c>
      <c r="P42" s="154">
        <v>0.0</v>
      </c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>
      <c r="A43" s="149"/>
      <c r="B43" s="150" t="s">
        <v>169</v>
      </c>
      <c r="C43" s="154">
        <f t="shared" ref="C43:C46" si="2">D37+C37</f>
        <v>3000</v>
      </c>
      <c r="D43" s="154">
        <v>1000.0</v>
      </c>
      <c r="E43" s="154">
        <v>1000.0</v>
      </c>
      <c r="F43" s="154">
        <v>1000.0</v>
      </c>
      <c r="G43" s="154">
        <v>0.0</v>
      </c>
      <c r="H43" s="143"/>
      <c r="I43" s="143"/>
      <c r="J43" s="143"/>
      <c r="K43" s="149"/>
      <c r="L43" s="154">
        <v>2.0</v>
      </c>
      <c r="M43" s="154">
        <v>130.0</v>
      </c>
      <c r="N43" s="154">
        <v>215.0</v>
      </c>
      <c r="O43" s="154">
        <v>160.0</v>
      </c>
      <c r="P43" s="154">
        <v>130.0</v>
      </c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>
      <c r="A44" s="149"/>
      <c r="B44" s="150" t="s">
        <v>175</v>
      </c>
      <c r="C44" s="154">
        <f t="shared" si="2"/>
        <v>0</v>
      </c>
      <c r="D44" s="154">
        <v>200.0</v>
      </c>
      <c r="E44" s="154">
        <v>200.0</v>
      </c>
      <c r="F44" s="154">
        <v>0.0</v>
      </c>
      <c r="G44" s="154">
        <v>200.0</v>
      </c>
      <c r="H44" s="143"/>
      <c r="I44" s="143"/>
      <c r="J44" s="143"/>
      <c r="K44" s="149"/>
      <c r="L44" s="154">
        <v>3.0</v>
      </c>
      <c r="M44" s="154">
        <v>210.0</v>
      </c>
      <c r="N44" s="154">
        <v>85.0</v>
      </c>
      <c r="O44" s="154">
        <v>65.0</v>
      </c>
      <c r="P44" s="154">
        <v>0.0</v>
      </c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>
      <c r="A45" s="149"/>
      <c r="B45" s="150" t="s">
        <v>176</v>
      </c>
      <c r="C45" s="154">
        <f t="shared" si="2"/>
        <v>814</v>
      </c>
      <c r="D45" s="154">
        <v>1019.0</v>
      </c>
      <c r="E45" s="154">
        <v>0.0</v>
      </c>
      <c r="F45" s="154">
        <v>410.0</v>
      </c>
      <c r="G45" s="154">
        <v>0.0</v>
      </c>
      <c r="H45" s="143"/>
      <c r="I45" s="143"/>
      <c r="J45" s="143"/>
      <c r="K45" s="149"/>
      <c r="L45" s="154">
        <v>4.0</v>
      </c>
      <c r="M45" s="154">
        <v>95.0</v>
      </c>
      <c r="N45" s="154">
        <v>155.0</v>
      </c>
      <c r="O45" s="154">
        <v>0.0</v>
      </c>
      <c r="P45" s="154">
        <v>60.0</v>
      </c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>
      <c r="A46" s="149"/>
      <c r="B46" s="150" t="s">
        <v>177</v>
      </c>
      <c r="C46" s="154">
        <f t="shared" si="2"/>
        <v>4195</v>
      </c>
      <c r="D46" s="154">
        <v>2557.0</v>
      </c>
      <c r="E46" s="154">
        <v>2406.0</v>
      </c>
      <c r="F46" s="154">
        <v>2318.0</v>
      </c>
      <c r="G46" s="154">
        <v>0.0</v>
      </c>
      <c r="H46" s="143"/>
      <c r="I46" s="143"/>
      <c r="J46" s="143"/>
      <c r="K46" s="149"/>
      <c r="L46" s="154">
        <v>5.0</v>
      </c>
      <c r="M46" s="154">
        <v>70.0</v>
      </c>
      <c r="N46" s="154">
        <v>125.0</v>
      </c>
      <c r="O46" s="154">
        <v>120.0</v>
      </c>
      <c r="P46" s="154">
        <v>75.0</v>
      </c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9"/>
      <c r="L47" s="154">
        <v>6.0</v>
      </c>
      <c r="M47" s="154">
        <v>110.0</v>
      </c>
      <c r="N47" s="154">
        <v>75.0</v>
      </c>
      <c r="O47" s="154">
        <v>0.0</v>
      </c>
      <c r="P47" s="154">
        <v>125.0</v>
      </c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>
      <c r="A48" s="143"/>
      <c r="B48" s="179" t="s">
        <v>183</v>
      </c>
      <c r="C48" s="180">
        <v>2400.0</v>
      </c>
      <c r="D48" s="143"/>
      <c r="E48" s="143"/>
      <c r="F48" s="143"/>
      <c r="G48" s="143"/>
      <c r="H48" s="143"/>
      <c r="I48" s="143"/>
      <c r="J48" s="143"/>
      <c r="K48" s="149"/>
      <c r="L48" s="154">
        <v>7.0</v>
      </c>
      <c r="M48" s="154">
        <v>150.0</v>
      </c>
      <c r="N48" s="154">
        <v>0.0</v>
      </c>
      <c r="O48" s="154">
        <v>125.0</v>
      </c>
      <c r="P48" s="154">
        <v>270.0</v>
      </c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>
      <c r="A49" s="143"/>
      <c r="B49" s="182" t="s">
        <v>184</v>
      </c>
      <c r="C49" s="180">
        <f> C48*5</f>
        <v>12000</v>
      </c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>
      <c r="A50" s="143"/>
      <c r="B50" s="148"/>
      <c r="C50" s="148"/>
      <c r="D50" s="148"/>
      <c r="E50" s="148"/>
      <c r="F50" s="148"/>
      <c r="G50" s="148"/>
      <c r="H50" s="148"/>
      <c r="I50" s="148"/>
      <c r="J50" s="148"/>
      <c r="K50" s="143"/>
      <c r="L50" s="175" t="s">
        <v>185</v>
      </c>
      <c r="M50" s="148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>
      <c r="A51" s="149"/>
      <c r="B51" s="183" t="s">
        <v>186</v>
      </c>
      <c r="C51" s="184" t="s">
        <v>187</v>
      </c>
      <c r="D51" s="183" t="s">
        <v>188</v>
      </c>
      <c r="E51" s="184" t="s">
        <v>189</v>
      </c>
      <c r="F51" s="183" t="s">
        <v>163</v>
      </c>
      <c r="G51" s="184" t="s">
        <v>190</v>
      </c>
      <c r="H51" s="184" t="s">
        <v>191</v>
      </c>
      <c r="I51" s="184" t="s">
        <v>192</v>
      </c>
      <c r="J51" s="184" t="s">
        <v>193</v>
      </c>
      <c r="K51" s="149"/>
      <c r="L51" s="184" t="s">
        <v>170</v>
      </c>
      <c r="M51" s="184" t="s">
        <v>185</v>
      </c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>
      <c r="A52" s="149"/>
      <c r="B52" s="185" t="s">
        <v>194</v>
      </c>
      <c r="C52" s="154">
        <v>240.0</v>
      </c>
      <c r="D52" s="154">
        <v>25.0</v>
      </c>
      <c r="E52" s="154">
        <f t="shared" ref="E52:E58" si="3">C52+D52</f>
        <v>265</v>
      </c>
      <c r="F52" s="154">
        <f t="shared" ref="F52:F58" si="4">ROUNDUP($C$48/E52,0)</f>
        <v>10</v>
      </c>
      <c r="G52" s="154">
        <f t="shared" ref="G52:G58" si="5">$C$49/E52</f>
        <v>45.28301887</v>
      </c>
      <c r="H52" s="154">
        <f t="shared" ref="H52:H58" si="6">D52*F52</f>
        <v>250</v>
      </c>
      <c r="I52" s="154">
        <f t="shared" ref="I52:I58" si="7">$C$48-H52</f>
        <v>2150</v>
      </c>
      <c r="J52" s="154">
        <f t="shared" ref="J52:J58" si="8">M52*I52</f>
        <v>21500</v>
      </c>
      <c r="K52" s="149"/>
      <c r="L52" s="154">
        <v>1.0</v>
      </c>
      <c r="M52" s="154">
        <v>10.0</v>
      </c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>
      <c r="A53" s="149"/>
      <c r="B53" s="185" t="s">
        <v>195</v>
      </c>
      <c r="C53" s="154">
        <v>240.0</v>
      </c>
      <c r="D53" s="154">
        <v>25.0</v>
      </c>
      <c r="E53" s="154">
        <f t="shared" si="3"/>
        <v>265</v>
      </c>
      <c r="F53" s="154">
        <f t="shared" si="4"/>
        <v>10</v>
      </c>
      <c r="G53" s="154">
        <f t="shared" si="5"/>
        <v>45.28301887</v>
      </c>
      <c r="H53" s="154">
        <f t="shared" si="6"/>
        <v>250</v>
      </c>
      <c r="I53" s="154">
        <f t="shared" si="7"/>
        <v>2150</v>
      </c>
      <c r="J53" s="154">
        <f t="shared" si="8"/>
        <v>43000</v>
      </c>
      <c r="K53" s="149"/>
      <c r="L53" s="154">
        <v>2.0</v>
      </c>
      <c r="M53" s="154">
        <v>20.0</v>
      </c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>
      <c r="A54" s="149"/>
      <c r="B54" s="185" t="s">
        <v>196</v>
      </c>
      <c r="C54" s="154">
        <v>180.0</v>
      </c>
      <c r="D54" s="154">
        <v>30.0</v>
      </c>
      <c r="E54" s="154">
        <f t="shared" si="3"/>
        <v>210</v>
      </c>
      <c r="F54" s="154">
        <f t="shared" si="4"/>
        <v>12</v>
      </c>
      <c r="G54" s="154">
        <f t="shared" si="5"/>
        <v>57.14285714</v>
      </c>
      <c r="H54" s="154">
        <f t="shared" si="6"/>
        <v>360</v>
      </c>
      <c r="I54" s="154">
        <f t="shared" si="7"/>
        <v>2040</v>
      </c>
      <c r="J54" s="154">
        <f t="shared" si="8"/>
        <v>20400</v>
      </c>
      <c r="K54" s="149"/>
      <c r="L54" s="154">
        <v>3.0</v>
      </c>
      <c r="M54" s="154">
        <v>10.0</v>
      </c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>
      <c r="A55" s="149"/>
      <c r="B55" s="185" t="s">
        <v>197</v>
      </c>
      <c r="C55" s="154">
        <v>180.0</v>
      </c>
      <c r="D55" s="154">
        <v>20.0</v>
      </c>
      <c r="E55" s="154">
        <f t="shared" si="3"/>
        <v>200</v>
      </c>
      <c r="F55" s="154">
        <f t="shared" si="4"/>
        <v>12</v>
      </c>
      <c r="G55" s="154">
        <f t="shared" si="5"/>
        <v>60</v>
      </c>
      <c r="H55" s="154">
        <f t="shared" si="6"/>
        <v>240</v>
      </c>
      <c r="I55" s="154">
        <f t="shared" si="7"/>
        <v>2160</v>
      </c>
      <c r="J55" s="154">
        <f t="shared" si="8"/>
        <v>32400</v>
      </c>
      <c r="K55" s="149"/>
      <c r="L55" s="154">
        <v>4.0</v>
      </c>
      <c r="M55" s="154">
        <v>15.0</v>
      </c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>
      <c r="A56" s="149"/>
      <c r="B56" s="185" t="s">
        <v>198</v>
      </c>
      <c r="C56" s="154">
        <v>180.0</v>
      </c>
      <c r="D56" s="154">
        <v>25.0</v>
      </c>
      <c r="E56" s="154">
        <f t="shared" si="3"/>
        <v>205</v>
      </c>
      <c r="F56" s="154">
        <f t="shared" si="4"/>
        <v>12</v>
      </c>
      <c r="G56" s="154">
        <f t="shared" si="5"/>
        <v>58.53658537</v>
      </c>
      <c r="H56" s="154">
        <f t="shared" si="6"/>
        <v>300</v>
      </c>
      <c r="I56" s="154">
        <f t="shared" si="7"/>
        <v>2100</v>
      </c>
      <c r="J56" s="154">
        <f t="shared" si="8"/>
        <v>31500</v>
      </c>
      <c r="K56" s="149"/>
      <c r="L56" s="154">
        <v>5.0</v>
      </c>
      <c r="M56" s="154">
        <v>15.0</v>
      </c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>
      <c r="A57" s="149"/>
      <c r="B57" s="185" t="s">
        <v>199</v>
      </c>
      <c r="C57" s="154">
        <v>240.0</v>
      </c>
      <c r="D57" s="154">
        <v>15.0</v>
      </c>
      <c r="E57" s="154">
        <f t="shared" si="3"/>
        <v>255</v>
      </c>
      <c r="F57" s="154">
        <f t="shared" si="4"/>
        <v>10</v>
      </c>
      <c r="G57" s="154">
        <f t="shared" si="5"/>
        <v>47.05882353</v>
      </c>
      <c r="H57" s="154">
        <f t="shared" si="6"/>
        <v>150</v>
      </c>
      <c r="I57" s="154">
        <f t="shared" si="7"/>
        <v>2250</v>
      </c>
      <c r="J57" s="154">
        <f t="shared" si="8"/>
        <v>45000</v>
      </c>
      <c r="K57" s="149"/>
      <c r="L57" s="154">
        <v>6.0</v>
      </c>
      <c r="M57" s="154">
        <v>20.0</v>
      </c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>
      <c r="A58" s="149"/>
      <c r="B58" s="185" t="s">
        <v>200</v>
      </c>
      <c r="C58" s="154">
        <v>240.0</v>
      </c>
      <c r="D58" s="154">
        <v>25.0</v>
      </c>
      <c r="E58" s="154">
        <f t="shared" si="3"/>
        <v>265</v>
      </c>
      <c r="F58" s="154">
        <f t="shared" si="4"/>
        <v>10</v>
      </c>
      <c r="G58" s="154">
        <f t="shared" si="5"/>
        <v>45.28301887</v>
      </c>
      <c r="H58" s="154">
        <f t="shared" si="6"/>
        <v>250</v>
      </c>
      <c r="I58" s="154">
        <f t="shared" si="7"/>
        <v>2150</v>
      </c>
      <c r="J58" s="154">
        <f t="shared" si="8"/>
        <v>10750</v>
      </c>
      <c r="K58" s="149"/>
      <c r="L58" s="154">
        <v>7.0</v>
      </c>
      <c r="M58" s="154">
        <v>5.0</v>
      </c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>
      <c r="A62" s="143"/>
      <c r="B62" s="179" t="s">
        <v>201</v>
      </c>
      <c r="C62" s="143"/>
      <c r="D62" s="186">
        <v>2.0</v>
      </c>
      <c r="E62" s="179" t="s">
        <v>202</v>
      </c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>
      <c r="A63" s="143"/>
      <c r="B63" s="179" t="s">
        <v>203</v>
      </c>
      <c r="C63" s="143"/>
      <c r="D63" s="186">
        <v>4500.0</v>
      </c>
      <c r="E63" s="179" t="s">
        <v>204</v>
      </c>
      <c r="F63" s="143"/>
      <c r="G63" s="143"/>
      <c r="H63" s="143"/>
      <c r="I63" s="143"/>
      <c r="J63" s="143"/>
      <c r="K63" s="143"/>
      <c r="L63" s="187" t="s">
        <v>205</v>
      </c>
      <c r="M63" s="144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>
      <c r="A64" s="143"/>
      <c r="B64" s="179" t="s">
        <v>206</v>
      </c>
      <c r="C64" s="143"/>
      <c r="D64" s="186">
        <v>2250.0</v>
      </c>
      <c r="E64" s="179" t="s">
        <v>204</v>
      </c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75" t="s">
        <v>169</v>
      </c>
      <c r="M65" s="148"/>
      <c r="N65" s="148"/>
      <c r="O65" s="148"/>
      <c r="P65" s="148"/>
      <c r="Q65" s="148"/>
      <c r="R65" s="143"/>
      <c r="S65" s="143"/>
      <c r="T65" s="143"/>
      <c r="U65" s="143"/>
      <c r="V65" s="143"/>
      <c r="W65" s="143"/>
      <c r="X65" s="143"/>
      <c r="Y65" s="143"/>
      <c r="Z65" s="143"/>
    </row>
    <row r="66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9"/>
      <c r="L66" s="150" t="s">
        <v>170</v>
      </c>
      <c r="M66" s="150" t="s">
        <v>164</v>
      </c>
      <c r="N66" s="150" t="s">
        <v>165</v>
      </c>
      <c r="O66" s="150" t="s">
        <v>166</v>
      </c>
      <c r="P66" s="150" t="s">
        <v>167</v>
      </c>
      <c r="Q66" s="150" t="s">
        <v>168</v>
      </c>
      <c r="R66" s="143"/>
      <c r="S66" s="143"/>
      <c r="T66" s="143"/>
      <c r="U66" s="143"/>
      <c r="V66" s="143"/>
      <c r="W66" s="143"/>
      <c r="X66" s="143"/>
      <c r="Y66" s="143"/>
      <c r="Z66" s="143"/>
    </row>
    <row r="67">
      <c r="A67" s="143"/>
      <c r="B67" s="181" t="s">
        <v>207</v>
      </c>
      <c r="C67" s="148"/>
      <c r="D67" s="148"/>
      <c r="E67" s="148"/>
      <c r="F67" s="148"/>
      <c r="G67" s="148"/>
      <c r="H67" s="148"/>
      <c r="I67" s="148"/>
      <c r="J67" s="143"/>
      <c r="K67" s="149"/>
      <c r="L67" s="150" t="s">
        <v>208</v>
      </c>
      <c r="M67" s="154">
        <f t="shared" ref="M67:Q67" si="9">C43*$M$31+$M$42</f>
        <v>60200</v>
      </c>
      <c r="N67" s="154">
        <f t="shared" si="9"/>
        <v>20200</v>
      </c>
      <c r="O67" s="154">
        <f t="shared" si="9"/>
        <v>20200</v>
      </c>
      <c r="P67" s="154">
        <f t="shared" si="9"/>
        <v>20200</v>
      </c>
      <c r="Q67" s="154">
        <f t="shared" si="9"/>
        <v>200</v>
      </c>
      <c r="R67" s="143"/>
      <c r="S67" s="143"/>
      <c r="T67" s="143"/>
      <c r="U67" s="143"/>
      <c r="V67" s="143"/>
      <c r="W67" s="143"/>
      <c r="X67" s="143"/>
      <c r="Y67" s="143"/>
      <c r="Z67" s="143"/>
    </row>
    <row r="68">
      <c r="A68" s="149"/>
      <c r="B68" s="152"/>
      <c r="C68" s="150" t="s">
        <v>164</v>
      </c>
      <c r="D68" s="150" t="s">
        <v>165</v>
      </c>
      <c r="E68" s="150" t="s">
        <v>166</v>
      </c>
      <c r="F68" s="150" t="s">
        <v>167</v>
      </c>
      <c r="G68" s="150" t="s">
        <v>168</v>
      </c>
      <c r="H68" s="150" t="s">
        <v>209</v>
      </c>
      <c r="I68" s="150" t="s">
        <v>210</v>
      </c>
      <c r="J68" s="143"/>
      <c r="K68" s="149"/>
      <c r="L68" s="150" t="s">
        <v>211</v>
      </c>
      <c r="M68" s="154">
        <f t="shared" ref="M68:Q68" si="10">C43*$M$32+$M$43</f>
        <v>27130</v>
      </c>
      <c r="N68" s="154">
        <f t="shared" si="10"/>
        <v>9130</v>
      </c>
      <c r="O68" s="154">
        <f t="shared" si="10"/>
        <v>9130</v>
      </c>
      <c r="P68" s="154">
        <f t="shared" si="10"/>
        <v>9130</v>
      </c>
      <c r="Q68" s="154">
        <f t="shared" si="10"/>
        <v>130</v>
      </c>
      <c r="R68" s="143"/>
      <c r="S68" s="143"/>
      <c r="T68" s="143"/>
      <c r="U68" s="143"/>
      <c r="V68" s="143"/>
      <c r="W68" s="143"/>
      <c r="X68" s="143"/>
      <c r="Y68" s="143"/>
      <c r="Z68" s="143"/>
    </row>
    <row r="69">
      <c r="A69" s="149"/>
      <c r="B69" s="150" t="s">
        <v>212</v>
      </c>
      <c r="C69" s="154">
        <f>ROUNDUP($C$74/I52,0)</f>
        <v>34</v>
      </c>
      <c r="D69" s="154">
        <f>ROUNDUP($D$74/I52,0)</f>
        <v>18</v>
      </c>
      <c r="E69" s="154">
        <f>ROUNDUP(E74/I52,0)</f>
        <v>12</v>
      </c>
      <c r="F69" s="154">
        <f>ROUNDUP(F74/I52,0)</f>
        <v>12</v>
      </c>
      <c r="G69" s="154">
        <f>ROUNDUP(G74/I52,0)</f>
        <v>2</v>
      </c>
      <c r="H69" s="154">
        <f t="shared" ref="H69:H71" si="12">SUM(C69:G69)</f>
        <v>78</v>
      </c>
      <c r="I69" s="152"/>
      <c r="J69" s="143"/>
      <c r="K69" s="149"/>
      <c r="L69" s="150" t="s">
        <v>213</v>
      </c>
      <c r="M69" s="154">
        <f t="shared" ref="M69:Q69" si="11">C43*$M$33+$M$44</f>
        <v>42210</v>
      </c>
      <c r="N69" s="154">
        <f t="shared" si="11"/>
        <v>14210</v>
      </c>
      <c r="O69" s="154">
        <f t="shared" si="11"/>
        <v>14210</v>
      </c>
      <c r="P69" s="154">
        <f t="shared" si="11"/>
        <v>14210</v>
      </c>
      <c r="Q69" s="154">
        <f t="shared" si="11"/>
        <v>210</v>
      </c>
      <c r="R69" s="143"/>
      <c r="S69" s="143"/>
      <c r="T69" s="143"/>
      <c r="U69" s="143"/>
      <c r="V69" s="143"/>
      <c r="W69" s="143"/>
      <c r="X69" s="143"/>
      <c r="Y69" s="143"/>
      <c r="Z69" s="143"/>
    </row>
    <row r="70">
      <c r="A70" s="149"/>
      <c r="B70" s="150" t="s">
        <v>214</v>
      </c>
      <c r="C70" s="154">
        <v>10.0</v>
      </c>
      <c r="D70" s="154">
        <v>34.0</v>
      </c>
      <c r="E70" s="154">
        <v>18.0</v>
      </c>
      <c r="F70" s="154">
        <v>12.0</v>
      </c>
      <c r="G70" s="154">
        <v>12.0</v>
      </c>
      <c r="H70" s="154">
        <f t="shared" si="12"/>
        <v>86</v>
      </c>
      <c r="I70" s="152"/>
      <c r="J70" s="143"/>
      <c r="K70" s="149"/>
      <c r="L70" s="150" t="s">
        <v>215</v>
      </c>
      <c r="M70" s="154">
        <f t="shared" ref="M70:Q70" si="13">C43*$M$34+$M$45</f>
        <v>63095</v>
      </c>
      <c r="N70" s="154">
        <f t="shared" si="13"/>
        <v>21095</v>
      </c>
      <c r="O70" s="154">
        <f t="shared" si="13"/>
        <v>21095</v>
      </c>
      <c r="P70" s="154">
        <f t="shared" si="13"/>
        <v>21095</v>
      </c>
      <c r="Q70" s="154">
        <f t="shared" si="13"/>
        <v>95</v>
      </c>
      <c r="R70" s="143"/>
      <c r="S70" s="143"/>
      <c r="T70" s="143"/>
      <c r="U70" s="143"/>
      <c r="V70" s="143"/>
      <c r="W70" s="143"/>
      <c r="X70" s="143"/>
      <c r="Y70" s="143"/>
      <c r="Z70" s="143"/>
    </row>
    <row r="71">
      <c r="A71" s="149"/>
      <c r="B71" s="150" t="s">
        <v>216</v>
      </c>
      <c r="C71" s="154">
        <f>C69-C70</f>
        <v>24</v>
      </c>
      <c r="D71" s="154">
        <v>0.0</v>
      </c>
      <c r="E71" s="154">
        <v>0.0</v>
      </c>
      <c r="F71" s="154">
        <v>0.0</v>
      </c>
      <c r="G71" s="154">
        <v>0.0</v>
      </c>
      <c r="H71" s="154">
        <f t="shared" si="12"/>
        <v>24</v>
      </c>
      <c r="I71" s="154">
        <f t="shared" ref="I71:I72" si="15">H71*D63</f>
        <v>108000</v>
      </c>
      <c r="J71" s="143"/>
      <c r="K71" s="149"/>
      <c r="L71" s="150" t="s">
        <v>217</v>
      </c>
      <c r="M71" s="154">
        <f t="shared" ref="M71:Q71" si="14">C43*$M$35+$M$46</f>
        <v>45070</v>
      </c>
      <c r="N71" s="154">
        <f t="shared" si="14"/>
        <v>15070</v>
      </c>
      <c r="O71" s="154">
        <f t="shared" si="14"/>
        <v>15070</v>
      </c>
      <c r="P71" s="154">
        <f t="shared" si="14"/>
        <v>15070</v>
      </c>
      <c r="Q71" s="154">
        <f t="shared" si="14"/>
        <v>70</v>
      </c>
      <c r="R71" s="143"/>
      <c r="S71" s="143"/>
      <c r="T71" s="143"/>
      <c r="U71" s="143"/>
      <c r="V71" s="143"/>
      <c r="W71" s="143"/>
      <c r="X71" s="143"/>
      <c r="Y71" s="143"/>
      <c r="Z71" s="143"/>
    </row>
    <row r="72">
      <c r="A72" s="149"/>
      <c r="B72" s="150" t="s">
        <v>218</v>
      </c>
      <c r="C72" s="154">
        <v>0.0</v>
      </c>
      <c r="D72" s="154">
        <v>16.0</v>
      </c>
      <c r="E72" s="154">
        <v>6.0</v>
      </c>
      <c r="F72" s="154">
        <v>0.0</v>
      </c>
      <c r="G72" s="154">
        <v>10.0</v>
      </c>
      <c r="H72" s="154">
        <f>SUM(D72:G72)</f>
        <v>32</v>
      </c>
      <c r="I72" s="154">
        <f t="shared" si="15"/>
        <v>72000</v>
      </c>
      <c r="J72" s="143"/>
      <c r="K72" s="149"/>
      <c r="L72" s="150" t="s">
        <v>219</v>
      </c>
      <c r="M72" s="154">
        <f>C43*$M$36+$M$57</f>
        <v>33020</v>
      </c>
      <c r="N72" s="154">
        <f t="shared" ref="N72:Q72" si="16">D43*$M$36+$M$47</f>
        <v>11110</v>
      </c>
      <c r="O72" s="154">
        <f t="shared" si="16"/>
        <v>11110</v>
      </c>
      <c r="P72" s="154">
        <f t="shared" si="16"/>
        <v>11110</v>
      </c>
      <c r="Q72" s="154">
        <f t="shared" si="16"/>
        <v>110</v>
      </c>
      <c r="R72" s="143"/>
      <c r="S72" s="143"/>
      <c r="T72" s="143"/>
      <c r="U72" s="143"/>
      <c r="V72" s="143"/>
      <c r="W72" s="143"/>
      <c r="X72" s="143"/>
      <c r="Y72" s="143"/>
      <c r="Z72" s="143"/>
    </row>
    <row r="73">
      <c r="A73" s="149"/>
      <c r="B73" s="150" t="s">
        <v>220</v>
      </c>
      <c r="C73" s="154">
        <f t="shared" ref="C73:G73" si="17">$I$52*C69</f>
        <v>73100</v>
      </c>
      <c r="D73" s="154">
        <f t="shared" si="17"/>
        <v>38700</v>
      </c>
      <c r="E73" s="154">
        <f t="shared" si="17"/>
        <v>25800</v>
      </c>
      <c r="F73" s="154">
        <f t="shared" si="17"/>
        <v>25800</v>
      </c>
      <c r="G73" s="154">
        <f t="shared" si="17"/>
        <v>4300</v>
      </c>
      <c r="H73" s="154">
        <f t="shared" ref="H73:H75" si="19">SUM(C73:G73)</f>
        <v>167700</v>
      </c>
      <c r="I73" s="152"/>
      <c r="J73" s="143"/>
      <c r="K73" s="149"/>
      <c r="L73" s="150" t="s">
        <v>221</v>
      </c>
      <c r="M73" s="154">
        <f t="shared" ref="M73:Q73" si="18">C43*$M$37+$M$48</f>
        <v>54150</v>
      </c>
      <c r="N73" s="154">
        <f t="shared" si="18"/>
        <v>18150</v>
      </c>
      <c r="O73" s="154">
        <f t="shared" si="18"/>
        <v>18150</v>
      </c>
      <c r="P73" s="154">
        <f t="shared" si="18"/>
        <v>18150</v>
      </c>
      <c r="Q73" s="154">
        <f t="shared" si="18"/>
        <v>150</v>
      </c>
      <c r="R73" s="143"/>
      <c r="S73" s="143"/>
      <c r="T73" s="143"/>
      <c r="U73" s="143"/>
      <c r="V73" s="143"/>
      <c r="W73" s="143"/>
      <c r="X73" s="143"/>
      <c r="Y73" s="143"/>
      <c r="Z73" s="143"/>
    </row>
    <row r="74">
      <c r="A74" s="149"/>
      <c r="B74" s="150" t="s">
        <v>222</v>
      </c>
      <c r="C74" s="154">
        <v>71052.0</v>
      </c>
      <c r="D74" s="154">
        <v>37517.0</v>
      </c>
      <c r="E74" s="154">
        <v>24270.0</v>
      </c>
      <c r="F74" s="154">
        <v>25800.0</v>
      </c>
      <c r="G74" s="154">
        <v>4270.0</v>
      </c>
      <c r="H74" s="154">
        <f t="shared" si="19"/>
        <v>162909</v>
      </c>
      <c r="I74" s="152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>
      <c r="A75" s="149"/>
      <c r="B75" s="150" t="s">
        <v>223</v>
      </c>
      <c r="C75" s="154">
        <f t="shared" ref="C75:G75" si="20">C73-C74</f>
        <v>2048</v>
      </c>
      <c r="D75" s="154">
        <f t="shared" si="20"/>
        <v>1183</v>
      </c>
      <c r="E75" s="154">
        <f t="shared" si="20"/>
        <v>1530</v>
      </c>
      <c r="F75" s="154">
        <f t="shared" si="20"/>
        <v>0</v>
      </c>
      <c r="G75" s="154">
        <f t="shared" si="20"/>
        <v>30</v>
      </c>
      <c r="H75" s="154">
        <f t="shared" si="19"/>
        <v>4791</v>
      </c>
      <c r="I75" s="154">
        <f>H75*D62</f>
        <v>9582</v>
      </c>
      <c r="J75" s="143"/>
      <c r="K75" s="143"/>
      <c r="L75" s="175" t="s">
        <v>175</v>
      </c>
      <c r="M75" s="148"/>
      <c r="N75" s="148"/>
      <c r="O75" s="148"/>
      <c r="P75" s="148"/>
      <c r="Q75" s="148"/>
      <c r="R75" s="143"/>
      <c r="S75" s="143"/>
      <c r="T75" s="143"/>
      <c r="U75" s="143"/>
      <c r="V75" s="143"/>
      <c r="W75" s="143"/>
      <c r="X75" s="143"/>
      <c r="Y75" s="143"/>
      <c r="Z75" s="143"/>
    </row>
    <row r="76">
      <c r="A76" s="149"/>
      <c r="B76" s="152"/>
      <c r="C76" s="152"/>
      <c r="D76" s="152"/>
      <c r="E76" s="152"/>
      <c r="F76" s="152"/>
      <c r="G76" s="152"/>
      <c r="H76" s="150" t="s">
        <v>224</v>
      </c>
      <c r="I76" s="151">
        <f>SUM(I71:I75)</f>
        <v>189582</v>
      </c>
      <c r="J76" s="143"/>
      <c r="K76" s="149"/>
      <c r="L76" s="150" t="s">
        <v>170</v>
      </c>
      <c r="M76" s="150" t="s">
        <v>164</v>
      </c>
      <c r="N76" s="150" t="s">
        <v>165</v>
      </c>
      <c r="O76" s="150" t="s">
        <v>166</v>
      </c>
      <c r="P76" s="150" t="s">
        <v>167</v>
      </c>
      <c r="Q76" s="150" t="s">
        <v>168</v>
      </c>
      <c r="R76" s="143"/>
      <c r="S76" s="143"/>
      <c r="T76" s="143"/>
      <c r="U76" s="143"/>
      <c r="V76" s="143"/>
      <c r="W76" s="143"/>
      <c r="X76" s="143"/>
      <c r="Y76" s="143"/>
      <c r="Z76" s="143"/>
    </row>
    <row r="77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9"/>
      <c r="L77" s="150" t="s">
        <v>208</v>
      </c>
      <c r="M77" s="154">
        <f t="shared" ref="M77:Q77" si="21">C44*$N$31+$N$42</f>
        <v>190</v>
      </c>
      <c r="N77" s="154">
        <f t="shared" si="21"/>
        <v>3990</v>
      </c>
      <c r="O77" s="154">
        <f t="shared" si="21"/>
        <v>3990</v>
      </c>
      <c r="P77" s="154">
        <f t="shared" si="21"/>
        <v>190</v>
      </c>
      <c r="Q77" s="154">
        <f t="shared" si="21"/>
        <v>3990</v>
      </c>
      <c r="R77" s="143"/>
      <c r="S77" s="143"/>
      <c r="T77" s="143"/>
      <c r="U77" s="143"/>
      <c r="V77" s="143"/>
      <c r="W77" s="143"/>
      <c r="X77" s="143"/>
      <c r="Y77" s="143"/>
      <c r="Z77" s="143"/>
    </row>
    <row r="78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9"/>
      <c r="L78" s="150" t="s">
        <v>217</v>
      </c>
      <c r="M78" s="154">
        <f t="shared" ref="M78:Q78" si="22">C44*$N$35+$N$46</f>
        <v>125</v>
      </c>
      <c r="N78" s="154">
        <f t="shared" si="22"/>
        <v>3125</v>
      </c>
      <c r="O78" s="154">
        <f t="shared" si="22"/>
        <v>3125</v>
      </c>
      <c r="P78" s="154">
        <f t="shared" si="22"/>
        <v>125</v>
      </c>
      <c r="Q78" s="154">
        <f t="shared" si="22"/>
        <v>3125</v>
      </c>
      <c r="R78" s="143"/>
      <c r="S78" s="143"/>
      <c r="T78" s="143"/>
      <c r="U78" s="143"/>
      <c r="V78" s="143"/>
      <c r="W78" s="143"/>
      <c r="X78" s="143"/>
      <c r="Y78" s="143"/>
      <c r="Z78" s="143"/>
    </row>
    <row r="79">
      <c r="A79" s="143"/>
      <c r="B79" s="181" t="s">
        <v>225</v>
      </c>
      <c r="C79" s="148"/>
      <c r="D79" s="148"/>
      <c r="E79" s="148"/>
      <c r="F79" s="148"/>
      <c r="G79" s="148"/>
      <c r="H79" s="148"/>
      <c r="I79" s="148"/>
      <c r="J79" s="143"/>
      <c r="K79" s="149"/>
      <c r="L79" s="150" t="s">
        <v>215</v>
      </c>
      <c r="M79" s="154">
        <f t="shared" ref="M79:Q79" si="23">C44*$N$34+$N$45</f>
        <v>155</v>
      </c>
      <c r="N79" s="154">
        <f t="shared" si="23"/>
        <v>1555</v>
      </c>
      <c r="O79" s="154">
        <f t="shared" si="23"/>
        <v>1555</v>
      </c>
      <c r="P79" s="154">
        <f t="shared" si="23"/>
        <v>155</v>
      </c>
      <c r="Q79" s="154">
        <f t="shared" si="23"/>
        <v>1555</v>
      </c>
      <c r="R79" s="143"/>
      <c r="S79" s="143"/>
      <c r="T79" s="143"/>
      <c r="U79" s="143"/>
      <c r="V79" s="143"/>
      <c r="W79" s="143"/>
      <c r="X79" s="143"/>
      <c r="Y79" s="143"/>
      <c r="Z79" s="143"/>
    </row>
    <row r="80">
      <c r="A80" s="149"/>
      <c r="B80" s="152"/>
      <c r="C80" s="150" t="s">
        <v>164</v>
      </c>
      <c r="D80" s="150" t="s">
        <v>165</v>
      </c>
      <c r="E80" s="150" t="s">
        <v>166</v>
      </c>
      <c r="F80" s="150" t="s">
        <v>167</v>
      </c>
      <c r="G80" s="150" t="s">
        <v>168</v>
      </c>
      <c r="H80" s="150" t="s">
        <v>163</v>
      </c>
      <c r="I80" s="150" t="s">
        <v>210</v>
      </c>
      <c r="J80" s="143"/>
      <c r="K80" s="149"/>
      <c r="L80" s="150" t="s">
        <v>213</v>
      </c>
      <c r="M80" s="154">
        <f t="shared" ref="M80:Q80" si="24">C44*$N$33+$N$44</f>
        <v>85</v>
      </c>
      <c r="N80" s="154">
        <f t="shared" si="24"/>
        <v>3685</v>
      </c>
      <c r="O80" s="154">
        <f t="shared" si="24"/>
        <v>3685</v>
      </c>
      <c r="P80" s="154">
        <f t="shared" si="24"/>
        <v>85</v>
      </c>
      <c r="Q80" s="154">
        <f t="shared" si="24"/>
        <v>3685</v>
      </c>
      <c r="R80" s="143"/>
      <c r="S80" s="143"/>
      <c r="T80" s="143"/>
      <c r="U80" s="143"/>
      <c r="V80" s="143"/>
      <c r="W80" s="143"/>
      <c r="X80" s="143"/>
      <c r="Y80" s="143"/>
      <c r="Z80" s="143"/>
    </row>
    <row r="81">
      <c r="A81" s="149"/>
      <c r="B81" s="150" t="s">
        <v>212</v>
      </c>
      <c r="C81" s="154">
        <f t="shared" ref="C81:G81" si="25">ROUNDUP(C86/$I$52,0)</f>
        <v>36</v>
      </c>
      <c r="D81" s="154">
        <f t="shared" si="25"/>
        <v>25</v>
      </c>
      <c r="E81" s="154">
        <f t="shared" si="25"/>
        <v>16</v>
      </c>
      <c r="F81" s="154">
        <f t="shared" si="25"/>
        <v>17</v>
      </c>
      <c r="G81" s="154">
        <f t="shared" si="25"/>
        <v>3</v>
      </c>
      <c r="H81" s="154">
        <f t="shared" ref="H81:H87" si="27">SUM(C81:G81)</f>
        <v>97</v>
      </c>
      <c r="I81" s="152"/>
      <c r="J81" s="143"/>
      <c r="K81" s="149"/>
      <c r="L81" s="150" t="s">
        <v>211</v>
      </c>
      <c r="M81" s="154">
        <f t="shared" ref="M81:Q81" si="26">C44*$N$32+$N$43</f>
        <v>215</v>
      </c>
      <c r="N81" s="154">
        <f t="shared" si="26"/>
        <v>4615</v>
      </c>
      <c r="O81" s="154">
        <f t="shared" si="26"/>
        <v>4615</v>
      </c>
      <c r="P81" s="154">
        <f t="shared" si="26"/>
        <v>215</v>
      </c>
      <c r="Q81" s="154">
        <f t="shared" si="26"/>
        <v>4615</v>
      </c>
      <c r="R81" s="143"/>
      <c r="S81" s="143"/>
      <c r="T81" s="143"/>
      <c r="U81" s="143"/>
      <c r="V81" s="143"/>
      <c r="W81" s="143"/>
      <c r="X81" s="143"/>
      <c r="Y81" s="143"/>
      <c r="Z81" s="143"/>
    </row>
    <row r="82">
      <c r="A82" s="149"/>
      <c r="B82" s="150" t="s">
        <v>214</v>
      </c>
      <c r="C82" s="154">
        <v>20.0</v>
      </c>
      <c r="D82" s="154">
        <v>36.0</v>
      </c>
      <c r="E82" s="154">
        <v>25.0</v>
      </c>
      <c r="F82" s="154">
        <v>16.0</v>
      </c>
      <c r="G82" s="154">
        <v>17.0</v>
      </c>
      <c r="H82" s="154">
        <f t="shared" si="27"/>
        <v>114</v>
      </c>
      <c r="I82" s="152"/>
      <c r="J82" s="143"/>
      <c r="K82" s="149"/>
      <c r="L82" s="150" t="s">
        <v>219</v>
      </c>
      <c r="M82" s="154">
        <f t="shared" ref="M82:Q82" si="28">C44*$N$36+$N$47</f>
        <v>75</v>
      </c>
      <c r="N82" s="154">
        <f t="shared" si="28"/>
        <v>2275</v>
      </c>
      <c r="O82" s="154">
        <f t="shared" si="28"/>
        <v>2275</v>
      </c>
      <c r="P82" s="154">
        <f t="shared" si="28"/>
        <v>75</v>
      </c>
      <c r="Q82" s="154">
        <f t="shared" si="28"/>
        <v>2275</v>
      </c>
      <c r="R82" s="143"/>
      <c r="S82" s="143"/>
      <c r="T82" s="143"/>
      <c r="U82" s="143"/>
      <c r="V82" s="143"/>
      <c r="W82" s="143"/>
      <c r="X82" s="143"/>
      <c r="Y82" s="143"/>
      <c r="Z82" s="143"/>
    </row>
    <row r="83">
      <c r="A83" s="149"/>
      <c r="B83" s="150" t="s">
        <v>226</v>
      </c>
      <c r="C83" s="154">
        <f>C81-C82</f>
        <v>16</v>
      </c>
      <c r="D83" s="154">
        <v>0.0</v>
      </c>
      <c r="E83" s="154">
        <v>0.0</v>
      </c>
      <c r="F83" s="154">
        <f>F81-F82</f>
        <v>1</v>
      </c>
      <c r="G83" s="154">
        <v>0.0</v>
      </c>
      <c r="H83" s="154">
        <f t="shared" si="27"/>
        <v>17</v>
      </c>
      <c r="I83" s="154">
        <f t="shared" ref="I83:I84" si="31">H83*D63</f>
        <v>76500</v>
      </c>
      <c r="J83" s="143"/>
      <c r="K83" s="149"/>
      <c r="L83" s="150" t="s">
        <v>217</v>
      </c>
      <c r="M83" s="154">
        <f t="shared" ref="M83:Q83" si="29">C44*$N$35+$N$46</f>
        <v>125</v>
      </c>
      <c r="N83" s="154">
        <f t="shared" si="29"/>
        <v>3125</v>
      </c>
      <c r="O83" s="154">
        <f t="shared" si="29"/>
        <v>3125</v>
      </c>
      <c r="P83" s="154">
        <f t="shared" si="29"/>
        <v>125</v>
      </c>
      <c r="Q83" s="154">
        <f t="shared" si="29"/>
        <v>3125</v>
      </c>
      <c r="R83" s="143"/>
      <c r="S83" s="143"/>
      <c r="T83" s="143"/>
      <c r="U83" s="143"/>
      <c r="V83" s="143"/>
      <c r="W83" s="143"/>
      <c r="X83" s="143"/>
      <c r="Y83" s="143"/>
      <c r="Z83" s="143"/>
    </row>
    <row r="84">
      <c r="A84" s="149"/>
      <c r="B84" s="150" t="s">
        <v>218</v>
      </c>
      <c r="C84" s="154">
        <v>0.0</v>
      </c>
      <c r="D84" s="154">
        <f t="shared" ref="D84:E84" si="30">D82-D81</f>
        <v>11</v>
      </c>
      <c r="E84" s="154">
        <f t="shared" si="30"/>
        <v>9</v>
      </c>
      <c r="F84" s="154">
        <v>0.0</v>
      </c>
      <c r="G84" s="154">
        <f>G82-G81</f>
        <v>14</v>
      </c>
      <c r="H84" s="154">
        <f t="shared" si="27"/>
        <v>34</v>
      </c>
      <c r="I84" s="154">
        <f t="shared" si="31"/>
        <v>76500</v>
      </c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>
      <c r="A85" s="149"/>
      <c r="B85" s="150" t="s">
        <v>220</v>
      </c>
      <c r="C85" s="154">
        <f t="shared" ref="C85:G85" si="32">$I$53*C81</f>
        <v>77400</v>
      </c>
      <c r="D85" s="154">
        <f t="shared" si="32"/>
        <v>53750</v>
      </c>
      <c r="E85" s="154">
        <f t="shared" si="32"/>
        <v>34400</v>
      </c>
      <c r="F85" s="154">
        <f t="shared" si="32"/>
        <v>36550</v>
      </c>
      <c r="G85" s="154">
        <f t="shared" si="32"/>
        <v>6450</v>
      </c>
      <c r="H85" s="154">
        <f t="shared" si="27"/>
        <v>208550</v>
      </c>
      <c r="I85" s="152"/>
      <c r="J85" s="143"/>
      <c r="K85" s="143"/>
      <c r="L85" s="175" t="s">
        <v>176</v>
      </c>
      <c r="M85" s="148"/>
      <c r="N85" s="148"/>
      <c r="O85" s="148"/>
      <c r="P85" s="148"/>
      <c r="Q85" s="148"/>
      <c r="R85" s="143"/>
      <c r="S85" s="143"/>
      <c r="T85" s="143"/>
      <c r="U85" s="143"/>
      <c r="V85" s="143"/>
      <c r="W85" s="143"/>
      <c r="X85" s="143"/>
      <c r="Y85" s="143"/>
      <c r="Z85" s="143"/>
    </row>
    <row r="86">
      <c r="A86" s="149"/>
      <c r="B86" s="150" t="s">
        <v>222</v>
      </c>
      <c r="C86" s="154">
        <v>75847.0</v>
      </c>
      <c r="D86" s="154">
        <v>52833.0</v>
      </c>
      <c r="E86" s="154">
        <v>33283.0</v>
      </c>
      <c r="F86" s="154">
        <v>35559.0</v>
      </c>
      <c r="G86" s="154">
        <v>5035.0</v>
      </c>
      <c r="H86" s="154">
        <f t="shared" si="27"/>
        <v>202557</v>
      </c>
      <c r="I86" s="152"/>
      <c r="J86" s="143"/>
      <c r="K86" s="149"/>
      <c r="L86" s="150" t="s">
        <v>170</v>
      </c>
      <c r="M86" s="150" t="s">
        <v>164</v>
      </c>
      <c r="N86" s="150" t="s">
        <v>165</v>
      </c>
      <c r="O86" s="150" t="s">
        <v>166</v>
      </c>
      <c r="P86" s="150" t="s">
        <v>167</v>
      </c>
      <c r="Q86" s="150" t="s">
        <v>168</v>
      </c>
      <c r="R86" s="143"/>
      <c r="S86" s="143"/>
      <c r="T86" s="143"/>
      <c r="U86" s="143"/>
      <c r="V86" s="143"/>
      <c r="W86" s="143"/>
      <c r="X86" s="143"/>
      <c r="Y86" s="143"/>
      <c r="Z86" s="143"/>
    </row>
    <row r="87">
      <c r="A87" s="149"/>
      <c r="B87" s="150" t="s">
        <v>227</v>
      </c>
      <c r="C87" s="154">
        <f t="shared" ref="C87:G87" si="33">C85-C86</f>
        <v>1553</v>
      </c>
      <c r="D87" s="154">
        <f t="shared" si="33"/>
        <v>917</v>
      </c>
      <c r="E87" s="154">
        <f t="shared" si="33"/>
        <v>1117</v>
      </c>
      <c r="F87" s="154">
        <f t="shared" si="33"/>
        <v>991</v>
      </c>
      <c r="G87" s="154">
        <f t="shared" si="33"/>
        <v>1415</v>
      </c>
      <c r="H87" s="154">
        <f t="shared" si="27"/>
        <v>5993</v>
      </c>
      <c r="I87" s="154">
        <f>H87*D62</f>
        <v>11986</v>
      </c>
      <c r="J87" s="143"/>
      <c r="K87" s="149"/>
      <c r="L87" s="150" t="s">
        <v>221</v>
      </c>
      <c r="M87" s="154">
        <f t="shared" ref="M87:Q87" si="34">C45*$O$37+$O$48</f>
        <v>2567</v>
      </c>
      <c r="N87" s="154">
        <f t="shared" si="34"/>
        <v>3182</v>
      </c>
      <c r="O87" s="154">
        <f t="shared" si="34"/>
        <v>125</v>
      </c>
      <c r="P87" s="154">
        <f t="shared" si="34"/>
        <v>1355</v>
      </c>
      <c r="Q87" s="154">
        <f t="shared" si="34"/>
        <v>125</v>
      </c>
      <c r="R87" s="143"/>
      <c r="S87" s="143"/>
      <c r="T87" s="143"/>
      <c r="U87" s="143"/>
      <c r="V87" s="143"/>
      <c r="W87" s="143"/>
      <c r="X87" s="143"/>
      <c r="Y87" s="143"/>
      <c r="Z87" s="143"/>
    </row>
    <row r="88">
      <c r="A88" s="149"/>
      <c r="B88" s="152"/>
      <c r="C88" s="152"/>
      <c r="D88" s="152"/>
      <c r="E88" s="152"/>
      <c r="F88" s="152"/>
      <c r="G88" s="152"/>
      <c r="H88" s="150" t="s">
        <v>224</v>
      </c>
      <c r="I88" s="151">
        <f>SUM(I83:I87)</f>
        <v>164986</v>
      </c>
      <c r="J88" s="143"/>
      <c r="K88" s="149"/>
      <c r="L88" s="150" t="s">
        <v>213</v>
      </c>
      <c r="M88" s="154">
        <f t="shared" ref="M88:Q88" si="35">C45*$O$33+$O$44</f>
        <v>17159</v>
      </c>
      <c r="N88" s="154">
        <f t="shared" si="35"/>
        <v>21464</v>
      </c>
      <c r="O88" s="154">
        <f t="shared" si="35"/>
        <v>65</v>
      </c>
      <c r="P88" s="154">
        <f t="shared" si="35"/>
        <v>8675</v>
      </c>
      <c r="Q88" s="154">
        <f t="shared" si="35"/>
        <v>65</v>
      </c>
      <c r="R88" s="143"/>
      <c r="S88" s="143"/>
      <c r="T88" s="143"/>
      <c r="U88" s="143"/>
      <c r="V88" s="143"/>
      <c r="W88" s="143"/>
      <c r="X88" s="143"/>
      <c r="Y88" s="143"/>
      <c r="Z88" s="143"/>
    </row>
    <row r="89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9"/>
      <c r="L89" s="150" t="s">
        <v>217</v>
      </c>
      <c r="M89" s="154">
        <f t="shared" ref="M89:Q89" si="36">C45*$O$35+$O$46</f>
        <v>13144</v>
      </c>
      <c r="N89" s="154">
        <f t="shared" si="36"/>
        <v>16424</v>
      </c>
      <c r="O89" s="154">
        <f t="shared" si="36"/>
        <v>120</v>
      </c>
      <c r="P89" s="154">
        <f t="shared" si="36"/>
        <v>6680</v>
      </c>
      <c r="Q89" s="154">
        <f t="shared" si="36"/>
        <v>120</v>
      </c>
      <c r="R89" s="143"/>
      <c r="S89" s="143"/>
      <c r="T89" s="143"/>
      <c r="U89" s="143"/>
      <c r="V89" s="143"/>
      <c r="W89" s="143"/>
      <c r="X89" s="143"/>
      <c r="Y89" s="143"/>
      <c r="Z89" s="143"/>
    </row>
    <row r="90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9"/>
      <c r="L90" s="150" t="s">
        <v>211</v>
      </c>
      <c r="M90" s="154">
        <f t="shared" ref="M90:Q90" si="37">C45*$O$32+$O$43</f>
        <v>14812</v>
      </c>
      <c r="N90" s="154">
        <f t="shared" si="37"/>
        <v>18502</v>
      </c>
      <c r="O90" s="154">
        <f t="shared" si="37"/>
        <v>160</v>
      </c>
      <c r="P90" s="154">
        <f t="shared" si="37"/>
        <v>7540</v>
      </c>
      <c r="Q90" s="154">
        <f t="shared" si="37"/>
        <v>160</v>
      </c>
      <c r="R90" s="143"/>
      <c r="S90" s="143"/>
      <c r="T90" s="143"/>
      <c r="U90" s="143"/>
      <c r="V90" s="143"/>
      <c r="W90" s="143"/>
      <c r="X90" s="143"/>
      <c r="Y90" s="143"/>
      <c r="Z90" s="143"/>
    </row>
    <row r="91">
      <c r="A91" s="143"/>
      <c r="B91" s="179" t="s">
        <v>228</v>
      </c>
      <c r="C91" s="143"/>
      <c r="D91" s="143"/>
      <c r="E91" s="143"/>
      <c r="F91" s="143"/>
      <c r="G91" s="143"/>
      <c r="H91" s="143"/>
      <c r="I91" s="143"/>
      <c r="J91" s="143"/>
      <c r="K91" s="149"/>
      <c r="L91" s="150" t="s">
        <v>208</v>
      </c>
      <c r="M91" s="154">
        <f t="shared" ref="M91:Q91" si="38">C45*$O$31+$O$42</f>
        <v>10662</v>
      </c>
      <c r="N91" s="154">
        <f t="shared" si="38"/>
        <v>13327</v>
      </c>
      <c r="O91" s="154">
        <f t="shared" si="38"/>
        <v>80</v>
      </c>
      <c r="P91" s="154">
        <f t="shared" si="38"/>
        <v>5410</v>
      </c>
      <c r="Q91" s="154">
        <f t="shared" si="38"/>
        <v>80</v>
      </c>
      <c r="R91" s="143"/>
      <c r="S91" s="143"/>
      <c r="T91" s="143"/>
      <c r="U91" s="143"/>
      <c r="V91" s="143"/>
      <c r="W91" s="143"/>
      <c r="X91" s="143"/>
      <c r="Y91" s="143"/>
      <c r="Z91" s="143"/>
    </row>
    <row r="92">
      <c r="A92" s="143"/>
      <c r="B92" s="148"/>
      <c r="C92" s="148"/>
      <c r="D92" s="148"/>
      <c r="E92" s="148"/>
      <c r="F92" s="148"/>
      <c r="G92" s="148"/>
      <c r="H92" s="148"/>
      <c r="I92" s="148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>
      <c r="A93" s="149"/>
      <c r="B93" s="152"/>
      <c r="C93" s="150" t="s">
        <v>164</v>
      </c>
      <c r="D93" s="150" t="s">
        <v>165</v>
      </c>
      <c r="E93" s="150" t="s">
        <v>166</v>
      </c>
      <c r="F93" s="150" t="s">
        <v>167</v>
      </c>
      <c r="G93" s="150" t="s">
        <v>168</v>
      </c>
      <c r="H93" s="150" t="s">
        <v>163</v>
      </c>
      <c r="I93" s="150" t="s">
        <v>210</v>
      </c>
      <c r="J93" s="143"/>
      <c r="K93" s="143"/>
      <c r="L93" s="175" t="s">
        <v>177</v>
      </c>
      <c r="M93" s="148"/>
      <c r="N93" s="148"/>
      <c r="O93" s="148"/>
      <c r="P93" s="148"/>
      <c r="Q93" s="148"/>
      <c r="R93" s="143"/>
      <c r="S93" s="143"/>
      <c r="T93" s="143"/>
      <c r="U93" s="143"/>
      <c r="V93" s="143"/>
      <c r="W93" s="143"/>
      <c r="X93" s="143"/>
      <c r="Y93" s="143"/>
      <c r="Z93" s="143"/>
    </row>
    <row r="94">
      <c r="A94" s="149"/>
      <c r="B94" s="150" t="s">
        <v>212</v>
      </c>
      <c r="C94" s="154">
        <f t="shared" ref="C94:G94" si="39">ROUNDUP(C99/$I$54,0)</f>
        <v>30</v>
      </c>
      <c r="D94" s="154">
        <f t="shared" si="39"/>
        <v>20</v>
      </c>
      <c r="E94" s="154">
        <f t="shared" si="39"/>
        <v>9</v>
      </c>
      <c r="F94" s="154">
        <f t="shared" si="39"/>
        <v>12</v>
      </c>
      <c r="G94" s="154">
        <f t="shared" si="39"/>
        <v>2</v>
      </c>
      <c r="H94" s="154">
        <f t="shared" ref="H94:H100" si="40">SUM(C94:G94)</f>
        <v>73</v>
      </c>
      <c r="I94" s="152"/>
      <c r="J94" s="143"/>
      <c r="K94" s="149"/>
      <c r="L94" s="150" t="s">
        <v>170</v>
      </c>
      <c r="M94" s="150" t="s">
        <v>164</v>
      </c>
      <c r="N94" s="150" t="s">
        <v>165</v>
      </c>
      <c r="O94" s="150" t="s">
        <v>166</v>
      </c>
      <c r="P94" s="150" t="s">
        <v>167</v>
      </c>
      <c r="Q94" s="150" t="s">
        <v>168</v>
      </c>
      <c r="R94" s="143"/>
      <c r="S94" s="143"/>
      <c r="T94" s="143"/>
      <c r="U94" s="143"/>
      <c r="V94" s="143"/>
      <c r="W94" s="143"/>
      <c r="X94" s="143"/>
      <c r="Y94" s="143"/>
      <c r="Z94" s="143"/>
    </row>
    <row r="95">
      <c r="A95" s="149"/>
      <c r="B95" s="150" t="s">
        <v>214</v>
      </c>
      <c r="C95" s="154">
        <v>10.0</v>
      </c>
      <c r="D95" s="154">
        <v>30.0</v>
      </c>
      <c r="E95" s="154">
        <v>20.0</v>
      </c>
      <c r="F95" s="154">
        <v>9.0</v>
      </c>
      <c r="G95" s="154">
        <v>12.0</v>
      </c>
      <c r="H95" s="154">
        <f t="shared" si="40"/>
        <v>81</v>
      </c>
      <c r="I95" s="152"/>
      <c r="J95" s="143"/>
      <c r="K95" s="149"/>
      <c r="L95" s="150" t="s">
        <v>215</v>
      </c>
      <c r="M95" s="154">
        <f t="shared" ref="M95:Q95" si="41">C46*$P$34+$P$45</f>
        <v>50400</v>
      </c>
      <c r="N95" s="154">
        <f t="shared" si="41"/>
        <v>30744</v>
      </c>
      <c r="O95" s="154">
        <f t="shared" si="41"/>
        <v>28932</v>
      </c>
      <c r="P95" s="154">
        <f t="shared" si="41"/>
        <v>27876</v>
      </c>
      <c r="Q95" s="154">
        <f t="shared" si="41"/>
        <v>60</v>
      </c>
      <c r="R95" s="143"/>
      <c r="S95" s="143"/>
      <c r="T95" s="143"/>
      <c r="U95" s="143"/>
      <c r="V95" s="143"/>
      <c r="W95" s="143"/>
      <c r="X95" s="143"/>
      <c r="Y95" s="143"/>
      <c r="Z95" s="143"/>
    </row>
    <row r="96">
      <c r="A96" s="149"/>
      <c r="B96" s="150" t="s">
        <v>226</v>
      </c>
      <c r="C96" s="154">
        <f>C94-C95</f>
        <v>20</v>
      </c>
      <c r="D96" s="154">
        <v>0.0</v>
      </c>
      <c r="E96" s="154">
        <v>0.0</v>
      </c>
      <c r="F96" s="154">
        <f>F94-F95</f>
        <v>3</v>
      </c>
      <c r="G96" s="154">
        <v>0.0</v>
      </c>
      <c r="H96" s="154">
        <f t="shared" si="40"/>
        <v>23</v>
      </c>
      <c r="I96" s="154">
        <f t="shared" ref="I96:I97" si="44">H96*D63</f>
        <v>103500</v>
      </c>
      <c r="J96" s="143"/>
      <c r="K96" s="149"/>
      <c r="L96" s="150" t="s">
        <v>211</v>
      </c>
      <c r="M96" s="154">
        <f t="shared" ref="M96:Q96" si="42">C46*$P$32+$P$43</f>
        <v>33690</v>
      </c>
      <c r="N96" s="154">
        <f t="shared" si="42"/>
        <v>20586</v>
      </c>
      <c r="O96" s="154">
        <f t="shared" si="42"/>
        <v>19378</v>
      </c>
      <c r="P96" s="154">
        <f t="shared" si="42"/>
        <v>18674</v>
      </c>
      <c r="Q96" s="154">
        <f t="shared" si="42"/>
        <v>130</v>
      </c>
      <c r="R96" s="143"/>
      <c r="S96" s="143"/>
      <c r="T96" s="143"/>
      <c r="U96" s="143"/>
      <c r="V96" s="143"/>
      <c r="W96" s="143"/>
      <c r="X96" s="143"/>
      <c r="Y96" s="143"/>
      <c r="Z96" s="143"/>
    </row>
    <row r="97">
      <c r="A97" s="149"/>
      <c r="B97" s="150" t="s">
        <v>218</v>
      </c>
      <c r="C97" s="154">
        <v>0.0</v>
      </c>
      <c r="D97" s="154">
        <f t="shared" ref="D97:E97" si="43">D95-D94</f>
        <v>10</v>
      </c>
      <c r="E97" s="154">
        <f t="shared" si="43"/>
        <v>11</v>
      </c>
      <c r="F97" s="154">
        <v>0.0</v>
      </c>
      <c r="G97" s="154">
        <f>G95-G94</f>
        <v>10</v>
      </c>
      <c r="H97" s="154">
        <f t="shared" si="40"/>
        <v>31</v>
      </c>
      <c r="I97" s="154">
        <f t="shared" si="44"/>
        <v>69750</v>
      </c>
      <c r="J97" s="143"/>
      <c r="K97" s="149"/>
      <c r="L97" s="150" t="s">
        <v>221</v>
      </c>
      <c r="M97" s="154">
        <f t="shared" ref="M97:Q97" si="45">C46*$P$37+$P$48</f>
        <v>42220</v>
      </c>
      <c r="N97" s="154">
        <f t="shared" si="45"/>
        <v>25840</v>
      </c>
      <c r="O97" s="154">
        <f t="shared" si="45"/>
        <v>24330</v>
      </c>
      <c r="P97" s="154">
        <f t="shared" si="45"/>
        <v>23450</v>
      </c>
      <c r="Q97" s="154">
        <f t="shared" si="45"/>
        <v>270</v>
      </c>
      <c r="R97" s="143"/>
      <c r="S97" s="143"/>
      <c r="T97" s="143"/>
      <c r="U97" s="143"/>
      <c r="V97" s="143"/>
      <c r="W97" s="143"/>
      <c r="X97" s="143"/>
      <c r="Y97" s="143"/>
      <c r="Z97" s="143"/>
    </row>
    <row r="98">
      <c r="A98" s="149"/>
      <c r="B98" s="150" t="s">
        <v>220</v>
      </c>
      <c r="C98" s="154">
        <f t="shared" ref="C98:G98" si="46">C94*$I$54</f>
        <v>61200</v>
      </c>
      <c r="D98" s="154">
        <f t="shared" si="46"/>
        <v>40800</v>
      </c>
      <c r="E98" s="154">
        <f t="shared" si="46"/>
        <v>18360</v>
      </c>
      <c r="F98" s="154">
        <f t="shared" si="46"/>
        <v>24480</v>
      </c>
      <c r="G98" s="154">
        <f t="shared" si="46"/>
        <v>4080</v>
      </c>
      <c r="H98" s="154">
        <f t="shared" si="40"/>
        <v>148920</v>
      </c>
      <c r="I98" s="152"/>
      <c r="J98" s="143"/>
      <c r="K98" s="149"/>
      <c r="L98" s="150" t="s">
        <v>217</v>
      </c>
      <c r="M98" s="154">
        <f t="shared" ref="M98:Q98" si="47">C46*$P$35+$P$46</f>
        <v>67195</v>
      </c>
      <c r="N98" s="154">
        <f t="shared" si="47"/>
        <v>40987</v>
      </c>
      <c r="O98" s="154">
        <f t="shared" si="47"/>
        <v>38571</v>
      </c>
      <c r="P98" s="154">
        <f t="shared" si="47"/>
        <v>37163</v>
      </c>
      <c r="Q98" s="154">
        <f t="shared" si="47"/>
        <v>75</v>
      </c>
      <c r="R98" s="143"/>
      <c r="S98" s="143"/>
      <c r="T98" s="143"/>
      <c r="U98" s="143"/>
      <c r="V98" s="143"/>
      <c r="W98" s="143"/>
      <c r="X98" s="143"/>
      <c r="Y98" s="143"/>
      <c r="Z98" s="143"/>
    </row>
    <row r="99">
      <c r="A99" s="149"/>
      <c r="B99" s="150" t="s">
        <v>222</v>
      </c>
      <c r="C99" s="154">
        <v>59454.0</v>
      </c>
      <c r="D99" s="154">
        <v>39359.0</v>
      </c>
      <c r="E99" s="154">
        <v>17960.0</v>
      </c>
      <c r="F99" s="154">
        <v>22970.0</v>
      </c>
      <c r="G99" s="154">
        <v>3960.0</v>
      </c>
      <c r="H99" s="154">
        <f t="shared" si="40"/>
        <v>143703</v>
      </c>
      <c r="I99" s="152"/>
      <c r="J99" s="143"/>
      <c r="K99" s="149"/>
      <c r="L99" s="150" t="s">
        <v>219</v>
      </c>
      <c r="M99" s="154">
        <f t="shared" ref="M99:Q99" si="48">C46*$P$36+$P$47</f>
        <v>63050</v>
      </c>
      <c r="N99" s="154">
        <f t="shared" si="48"/>
        <v>38480</v>
      </c>
      <c r="O99" s="154">
        <f t="shared" si="48"/>
        <v>36215</v>
      </c>
      <c r="P99" s="154">
        <f t="shared" si="48"/>
        <v>34895</v>
      </c>
      <c r="Q99" s="154">
        <f t="shared" si="48"/>
        <v>125</v>
      </c>
      <c r="R99" s="143"/>
      <c r="S99" s="143"/>
      <c r="T99" s="143"/>
      <c r="U99" s="143"/>
      <c r="V99" s="143"/>
      <c r="W99" s="143"/>
      <c r="X99" s="143"/>
      <c r="Y99" s="143"/>
      <c r="Z99" s="143"/>
    </row>
    <row r="100">
      <c r="A100" s="149"/>
      <c r="B100" s="150" t="s">
        <v>227</v>
      </c>
      <c r="C100" s="154">
        <f t="shared" ref="C100:G100" si="49">C98-C99</f>
        <v>1746</v>
      </c>
      <c r="D100" s="154">
        <f t="shared" si="49"/>
        <v>1441</v>
      </c>
      <c r="E100" s="154">
        <f t="shared" si="49"/>
        <v>400</v>
      </c>
      <c r="F100" s="154">
        <f t="shared" si="49"/>
        <v>1510</v>
      </c>
      <c r="G100" s="154">
        <f t="shared" si="49"/>
        <v>120</v>
      </c>
      <c r="H100" s="154">
        <f t="shared" si="40"/>
        <v>5217</v>
      </c>
      <c r="I100" s="154">
        <f>H100*D62</f>
        <v>10434</v>
      </c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>
      <c r="A101" s="149"/>
      <c r="B101" s="152"/>
      <c r="C101" s="152"/>
      <c r="D101" s="152"/>
      <c r="E101" s="152"/>
      <c r="F101" s="152"/>
      <c r="G101" s="152"/>
      <c r="H101" s="150" t="s">
        <v>229</v>
      </c>
      <c r="I101" s="151">
        <f>SUM(I96:I100)</f>
        <v>183684</v>
      </c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76" t="s">
        <v>230</v>
      </c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>
      <c r="A103" s="143"/>
      <c r="B103" s="148"/>
      <c r="C103" s="148"/>
      <c r="D103" s="148"/>
      <c r="E103" s="148"/>
      <c r="F103" s="148"/>
      <c r="G103" s="148"/>
      <c r="H103" s="148"/>
      <c r="I103" s="148"/>
      <c r="J103" s="143"/>
      <c r="K103" s="143"/>
      <c r="L103" s="143"/>
      <c r="M103" s="143"/>
      <c r="N103" s="148"/>
      <c r="O103" s="148"/>
      <c r="P103" s="148"/>
      <c r="Q103" s="148"/>
      <c r="R103" s="148"/>
      <c r="S103" s="148"/>
      <c r="T103" s="148"/>
      <c r="U103" s="148"/>
      <c r="V103" s="143"/>
      <c r="W103" s="143"/>
      <c r="X103" s="143"/>
      <c r="Y103" s="143"/>
      <c r="Z103" s="143"/>
    </row>
    <row r="104">
      <c r="A104" s="149"/>
      <c r="B104" s="150" t="s">
        <v>231</v>
      </c>
      <c r="C104" s="152"/>
      <c r="D104" s="152"/>
      <c r="E104" s="152"/>
      <c r="F104" s="152"/>
      <c r="G104" s="152"/>
      <c r="H104" s="152"/>
      <c r="I104" s="152"/>
      <c r="J104" s="143"/>
      <c r="K104" s="143"/>
      <c r="L104" s="176" t="s">
        <v>232</v>
      </c>
      <c r="M104" s="149"/>
      <c r="N104" s="152"/>
      <c r="O104" s="150" t="s">
        <v>164</v>
      </c>
      <c r="P104" s="150" t="s">
        <v>165</v>
      </c>
      <c r="Q104" s="150" t="s">
        <v>166</v>
      </c>
      <c r="R104" s="150" t="s">
        <v>167</v>
      </c>
      <c r="S104" s="150" t="s">
        <v>168</v>
      </c>
      <c r="T104" s="150" t="s">
        <v>23</v>
      </c>
      <c r="U104" s="175" t="s">
        <v>233</v>
      </c>
      <c r="V104" s="143"/>
      <c r="W104" s="143"/>
      <c r="X104" s="143"/>
      <c r="Y104" s="143"/>
      <c r="Z104" s="143"/>
    </row>
    <row r="105">
      <c r="A105" s="149"/>
      <c r="B105" s="152"/>
      <c r="C105" s="150" t="s">
        <v>164</v>
      </c>
      <c r="D105" s="150" t="s">
        <v>165</v>
      </c>
      <c r="E105" s="150" t="s">
        <v>166</v>
      </c>
      <c r="F105" s="150" t="s">
        <v>167</v>
      </c>
      <c r="G105" s="150" t="s">
        <v>168</v>
      </c>
      <c r="H105" s="150" t="s">
        <v>163</v>
      </c>
      <c r="I105" s="150" t="s">
        <v>210</v>
      </c>
      <c r="J105" s="143"/>
      <c r="K105" s="143"/>
      <c r="L105" s="143"/>
      <c r="M105" s="149"/>
      <c r="N105" s="150" t="s">
        <v>208</v>
      </c>
      <c r="O105" s="154">
        <f t="shared" ref="O105:S105" si="50">M67+M77+M91</f>
        <v>71052</v>
      </c>
      <c r="P105" s="154">
        <f t="shared" si="50"/>
        <v>37517</v>
      </c>
      <c r="Q105" s="154">
        <f t="shared" si="50"/>
        <v>24270</v>
      </c>
      <c r="R105" s="154">
        <f t="shared" si="50"/>
        <v>25800</v>
      </c>
      <c r="S105" s="154">
        <f t="shared" si="50"/>
        <v>4270</v>
      </c>
      <c r="T105" s="154">
        <f t="shared" ref="T105:T111" si="53">SUM(O105:S105)</f>
        <v>162909</v>
      </c>
      <c r="U105" s="154">
        <f>(T105/T112)*100</f>
        <v>10.327043</v>
      </c>
      <c r="V105" s="143"/>
      <c r="W105" s="143"/>
      <c r="X105" s="143"/>
      <c r="Y105" s="143"/>
      <c r="Z105" s="143"/>
    </row>
    <row r="106">
      <c r="A106" s="149"/>
      <c r="B106" s="150" t="s">
        <v>212</v>
      </c>
      <c r="C106" s="154">
        <f t="shared" ref="C106:G106" si="51">ROUNDUP(C111/$I$55,0)</f>
        <v>53</v>
      </c>
      <c r="D106" s="154">
        <f t="shared" si="51"/>
        <v>25</v>
      </c>
      <c r="E106" s="154">
        <f t="shared" si="51"/>
        <v>24</v>
      </c>
      <c r="F106" s="154">
        <f t="shared" si="51"/>
        <v>23</v>
      </c>
      <c r="G106" s="154">
        <f t="shared" si="51"/>
        <v>1</v>
      </c>
      <c r="H106" s="154">
        <f t="shared" ref="H106:H112" si="54">SUM(C106:G106)</f>
        <v>126</v>
      </c>
      <c r="I106" s="152"/>
      <c r="J106" s="143"/>
      <c r="K106" s="143"/>
      <c r="L106" s="143"/>
      <c r="M106" s="149"/>
      <c r="N106" s="150" t="s">
        <v>211</v>
      </c>
      <c r="O106" s="154">
        <f t="shared" ref="O106:S106" si="52">M68+M81+M90+M96</f>
        <v>75847</v>
      </c>
      <c r="P106" s="154">
        <f t="shared" si="52"/>
        <v>52833</v>
      </c>
      <c r="Q106" s="154">
        <f t="shared" si="52"/>
        <v>33283</v>
      </c>
      <c r="R106" s="154">
        <f t="shared" si="52"/>
        <v>35559</v>
      </c>
      <c r="S106" s="154">
        <f t="shared" si="52"/>
        <v>5035</v>
      </c>
      <c r="T106" s="154">
        <f t="shared" si="53"/>
        <v>202557</v>
      </c>
      <c r="U106" s="154">
        <f>(T106/T112)*100</f>
        <v>12.84038849</v>
      </c>
      <c r="V106" s="143"/>
      <c r="W106" s="143"/>
      <c r="X106" s="143"/>
      <c r="Y106" s="143"/>
      <c r="Z106" s="143"/>
    </row>
    <row r="107">
      <c r="A107" s="149"/>
      <c r="B107" s="150" t="s">
        <v>214</v>
      </c>
      <c r="C107" s="154">
        <v>15.0</v>
      </c>
      <c r="D107" s="154">
        <v>53.0</v>
      </c>
      <c r="E107" s="154">
        <v>25.0</v>
      </c>
      <c r="F107" s="154">
        <v>24.0</v>
      </c>
      <c r="G107" s="154">
        <v>23.0</v>
      </c>
      <c r="H107" s="154">
        <f t="shared" si="54"/>
        <v>140</v>
      </c>
      <c r="I107" s="152"/>
      <c r="J107" s="143"/>
      <c r="K107" s="143"/>
      <c r="L107" s="143"/>
      <c r="M107" s="149"/>
      <c r="N107" s="150" t="s">
        <v>213</v>
      </c>
      <c r="O107" s="154">
        <f t="shared" ref="O107:S107" si="55">M69+M80+M88</f>
        <v>59454</v>
      </c>
      <c r="P107" s="154">
        <f t="shared" si="55"/>
        <v>39359</v>
      </c>
      <c r="Q107" s="154">
        <f t="shared" si="55"/>
        <v>17960</v>
      </c>
      <c r="R107" s="154">
        <f t="shared" si="55"/>
        <v>22970</v>
      </c>
      <c r="S107" s="154">
        <f t="shared" si="55"/>
        <v>3960</v>
      </c>
      <c r="T107" s="154">
        <f t="shared" si="53"/>
        <v>143703</v>
      </c>
      <c r="U107" s="154">
        <f>(T107/T112)*100</f>
        <v>9.109546187</v>
      </c>
      <c r="V107" s="143"/>
      <c r="W107" s="143"/>
      <c r="X107" s="143"/>
      <c r="Y107" s="143"/>
      <c r="Z107" s="143"/>
    </row>
    <row r="108">
      <c r="A108" s="149"/>
      <c r="B108" s="150" t="s">
        <v>226</v>
      </c>
      <c r="C108" s="154">
        <f>C106- C107</f>
        <v>38</v>
      </c>
      <c r="D108" s="154">
        <v>0.0</v>
      </c>
      <c r="E108" s="154">
        <v>0.0</v>
      </c>
      <c r="F108" s="154">
        <v>0.0</v>
      </c>
      <c r="G108" s="154">
        <v>0.0</v>
      </c>
      <c r="H108" s="154">
        <f t="shared" si="54"/>
        <v>38</v>
      </c>
      <c r="I108" s="154">
        <f t="shared" ref="I108:I109" si="58">H108*D63</f>
        <v>171000</v>
      </c>
      <c r="J108" s="143"/>
      <c r="K108" s="143"/>
      <c r="L108" s="143"/>
      <c r="M108" s="149"/>
      <c r="N108" s="150" t="s">
        <v>215</v>
      </c>
      <c r="O108" s="154">
        <f t="shared" ref="O108:S108" si="56">M70+M79+M95</f>
        <v>113650</v>
      </c>
      <c r="P108" s="154">
        <f t="shared" si="56"/>
        <v>53394</v>
      </c>
      <c r="Q108" s="154">
        <f t="shared" si="56"/>
        <v>51582</v>
      </c>
      <c r="R108" s="154">
        <f t="shared" si="56"/>
        <v>49126</v>
      </c>
      <c r="S108" s="154">
        <f t="shared" si="56"/>
        <v>1710</v>
      </c>
      <c r="T108" s="154">
        <f t="shared" si="53"/>
        <v>269462</v>
      </c>
      <c r="U108" s="154">
        <f>(T108/T112)*100</f>
        <v>17.08159561</v>
      </c>
      <c r="V108" s="143"/>
      <c r="W108" s="143"/>
      <c r="X108" s="143"/>
      <c r="Y108" s="143"/>
      <c r="Z108" s="143"/>
    </row>
    <row r="109">
      <c r="A109" s="149"/>
      <c r="B109" s="150" t="s">
        <v>218</v>
      </c>
      <c r="C109" s="154">
        <v>0.0</v>
      </c>
      <c r="D109" s="154">
        <f t="shared" ref="D109:G109" si="57">D107-D106</f>
        <v>28</v>
      </c>
      <c r="E109" s="154">
        <f t="shared" si="57"/>
        <v>1</v>
      </c>
      <c r="F109" s="154">
        <f t="shared" si="57"/>
        <v>1</v>
      </c>
      <c r="G109" s="154">
        <f t="shared" si="57"/>
        <v>22</v>
      </c>
      <c r="H109" s="154">
        <f t="shared" si="54"/>
        <v>52</v>
      </c>
      <c r="I109" s="154">
        <f t="shared" si="58"/>
        <v>117000</v>
      </c>
      <c r="J109" s="143"/>
      <c r="K109" s="143"/>
      <c r="L109" s="143"/>
      <c r="M109" s="149"/>
      <c r="N109" s="150" t="s">
        <v>217</v>
      </c>
      <c r="O109" s="154">
        <f t="shared" ref="O109:S109" si="59">M71+M78+M89+M98</f>
        <v>125534</v>
      </c>
      <c r="P109" s="154">
        <f t="shared" si="59"/>
        <v>75606</v>
      </c>
      <c r="Q109" s="154">
        <f t="shared" si="59"/>
        <v>56886</v>
      </c>
      <c r="R109" s="154">
        <f t="shared" si="59"/>
        <v>59038</v>
      </c>
      <c r="S109" s="154">
        <f t="shared" si="59"/>
        <v>3390</v>
      </c>
      <c r="T109" s="154">
        <f t="shared" si="53"/>
        <v>320454</v>
      </c>
      <c r="U109" s="154">
        <f>(T109/T112)*100</f>
        <v>20.31405408</v>
      </c>
      <c r="V109" s="143"/>
      <c r="W109" s="143"/>
      <c r="X109" s="143"/>
      <c r="Y109" s="143"/>
      <c r="Z109" s="143"/>
    </row>
    <row r="110">
      <c r="A110" s="149"/>
      <c r="B110" s="150" t="s">
        <v>220</v>
      </c>
      <c r="C110" s="154">
        <f t="shared" ref="C110:G110" si="60">C106*$I$55</f>
        <v>114480</v>
      </c>
      <c r="D110" s="154">
        <f t="shared" si="60"/>
        <v>54000</v>
      </c>
      <c r="E110" s="154">
        <f t="shared" si="60"/>
        <v>51840</v>
      </c>
      <c r="F110" s="154">
        <f t="shared" si="60"/>
        <v>49680</v>
      </c>
      <c r="G110" s="154">
        <f t="shared" si="60"/>
        <v>2160</v>
      </c>
      <c r="H110" s="154">
        <f t="shared" si="54"/>
        <v>272160</v>
      </c>
      <c r="I110" s="152"/>
      <c r="J110" s="143"/>
      <c r="K110" s="143"/>
      <c r="L110" s="143"/>
      <c r="M110" s="149"/>
      <c r="N110" s="150" t="s">
        <v>219</v>
      </c>
      <c r="O110" s="154">
        <f t="shared" ref="O110:S110" si="61">M72+M82+M99</f>
        <v>96145</v>
      </c>
      <c r="P110" s="154">
        <f t="shared" si="61"/>
        <v>51865</v>
      </c>
      <c r="Q110" s="154">
        <f t="shared" si="61"/>
        <v>49600</v>
      </c>
      <c r="R110" s="154">
        <f t="shared" si="61"/>
        <v>46080</v>
      </c>
      <c r="S110" s="154">
        <f t="shared" si="61"/>
        <v>2510</v>
      </c>
      <c r="T110" s="154">
        <f t="shared" si="53"/>
        <v>246200</v>
      </c>
      <c r="U110" s="154">
        <f>(T110/T112)*100</f>
        <v>15.60698295</v>
      </c>
      <c r="V110" s="143"/>
      <c r="W110" s="143"/>
      <c r="X110" s="143"/>
      <c r="Y110" s="143"/>
      <c r="Z110" s="143"/>
    </row>
    <row r="111">
      <c r="A111" s="149"/>
      <c r="B111" s="150" t="s">
        <v>222</v>
      </c>
      <c r="C111" s="154">
        <f>113650</f>
        <v>113650</v>
      </c>
      <c r="D111" s="154">
        <v>53394.0</v>
      </c>
      <c r="E111" s="154">
        <v>51582.0</v>
      </c>
      <c r="F111" s="154">
        <v>49126.0</v>
      </c>
      <c r="G111" s="154">
        <v>1710.0</v>
      </c>
      <c r="H111" s="154">
        <f t="shared" si="54"/>
        <v>269462</v>
      </c>
      <c r="I111" s="152"/>
      <c r="J111" s="143"/>
      <c r="K111" s="143"/>
      <c r="L111" s="143"/>
      <c r="M111" s="149"/>
      <c r="N111" s="150" t="s">
        <v>221</v>
      </c>
      <c r="O111" s="154">
        <f t="shared" ref="O111:S111" si="62">M73+M87+M97</f>
        <v>98937</v>
      </c>
      <c r="P111" s="154">
        <f t="shared" si="62"/>
        <v>47172</v>
      </c>
      <c r="Q111" s="154">
        <f t="shared" si="62"/>
        <v>42605</v>
      </c>
      <c r="R111" s="154">
        <f t="shared" si="62"/>
        <v>42955</v>
      </c>
      <c r="S111" s="154">
        <f t="shared" si="62"/>
        <v>545</v>
      </c>
      <c r="T111" s="154">
        <f t="shared" si="53"/>
        <v>232214</v>
      </c>
      <c r="U111" s="154">
        <f>(T111/T112)*100</f>
        <v>14.72038968</v>
      </c>
      <c r="V111" s="143"/>
      <c r="W111" s="143"/>
      <c r="X111" s="143"/>
      <c r="Y111" s="143"/>
      <c r="Z111" s="143"/>
    </row>
    <row r="112">
      <c r="A112" s="149"/>
      <c r="B112" s="150" t="s">
        <v>227</v>
      </c>
      <c r="C112" s="154">
        <f t="shared" ref="C112:G112" si="63">C110-C111</f>
        <v>830</v>
      </c>
      <c r="D112" s="154">
        <f t="shared" si="63"/>
        <v>606</v>
      </c>
      <c r="E112" s="154">
        <f t="shared" si="63"/>
        <v>258</v>
      </c>
      <c r="F112" s="154">
        <f t="shared" si="63"/>
        <v>554</v>
      </c>
      <c r="G112" s="154">
        <f t="shared" si="63"/>
        <v>450</v>
      </c>
      <c r="H112" s="154">
        <f t="shared" si="54"/>
        <v>2698</v>
      </c>
      <c r="I112" s="154">
        <f>H112*D62</f>
        <v>5396</v>
      </c>
      <c r="J112" s="143"/>
      <c r="K112" s="143"/>
      <c r="L112" s="143"/>
      <c r="M112" s="149"/>
      <c r="N112" s="152"/>
      <c r="O112" s="152"/>
      <c r="P112" s="152"/>
      <c r="Q112" s="152"/>
      <c r="R112" s="152"/>
      <c r="S112" s="150" t="s">
        <v>163</v>
      </c>
      <c r="T112" s="151">
        <f>SUM(T105:T111)</f>
        <v>1577499</v>
      </c>
      <c r="U112" s="154">
        <f> SUM(U105:U111)</f>
        <v>100</v>
      </c>
      <c r="V112" s="143"/>
      <c r="W112" s="143"/>
      <c r="X112" s="143"/>
      <c r="Y112" s="143"/>
      <c r="Z112" s="143"/>
    </row>
    <row r="113">
      <c r="A113" s="149"/>
      <c r="B113" s="152"/>
      <c r="C113" s="152"/>
      <c r="D113" s="152"/>
      <c r="E113" s="152"/>
      <c r="F113" s="152"/>
      <c r="G113" s="152"/>
      <c r="H113" s="150" t="s">
        <v>229</v>
      </c>
      <c r="I113" s="151">
        <f>SUM(I108:I112)</f>
        <v>293396</v>
      </c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>
      <c r="A116" s="143"/>
      <c r="B116" s="181" t="s">
        <v>234</v>
      </c>
      <c r="C116" s="148"/>
      <c r="D116" s="148"/>
      <c r="E116" s="148"/>
      <c r="F116" s="148"/>
      <c r="G116" s="148"/>
      <c r="H116" s="148"/>
      <c r="I116" s="148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>
      <c r="A117" s="149"/>
      <c r="B117" s="152"/>
      <c r="C117" s="150" t="s">
        <v>164</v>
      </c>
      <c r="D117" s="150" t="s">
        <v>165</v>
      </c>
      <c r="E117" s="150" t="s">
        <v>166</v>
      </c>
      <c r="F117" s="150" t="s">
        <v>167</v>
      </c>
      <c r="G117" s="150" t="s">
        <v>168</v>
      </c>
      <c r="H117" s="150" t="s">
        <v>163</v>
      </c>
      <c r="I117" s="175" t="s">
        <v>235</v>
      </c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>
      <c r="A118" s="149"/>
      <c r="B118" s="150" t="s">
        <v>212</v>
      </c>
      <c r="C118" s="154">
        <f t="shared" ref="C118:G118" si="64">ROUNDUP(C123/$I$56,0)</f>
        <v>60</v>
      </c>
      <c r="D118" s="154">
        <f t="shared" si="64"/>
        <v>37</v>
      </c>
      <c r="E118" s="154">
        <f t="shared" si="64"/>
        <v>28</v>
      </c>
      <c r="F118" s="154">
        <f t="shared" si="64"/>
        <v>29</v>
      </c>
      <c r="G118" s="154">
        <f t="shared" si="64"/>
        <v>2</v>
      </c>
      <c r="H118" s="154">
        <f t="shared" ref="H118:H124" si="65">SUM(C118:G118)</f>
        <v>156</v>
      </c>
      <c r="I118" s="152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>
      <c r="A119" s="149"/>
      <c r="B119" s="150" t="s">
        <v>214</v>
      </c>
      <c r="C119" s="154">
        <v>15.0</v>
      </c>
      <c r="D119" s="154">
        <v>60.0</v>
      </c>
      <c r="E119" s="154">
        <v>37.0</v>
      </c>
      <c r="F119" s="154">
        <v>28.0</v>
      </c>
      <c r="G119" s="154">
        <v>29.0</v>
      </c>
      <c r="H119" s="154">
        <f t="shared" si="65"/>
        <v>169</v>
      </c>
      <c r="I119" s="152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>
      <c r="A120" s="149"/>
      <c r="B120" s="150" t="s">
        <v>226</v>
      </c>
      <c r="C120" s="154">
        <f>C118-C119</f>
        <v>45</v>
      </c>
      <c r="D120" s="154">
        <v>0.0</v>
      </c>
      <c r="E120" s="154">
        <v>0.0</v>
      </c>
      <c r="F120" s="154">
        <f>F118-F119</f>
        <v>1</v>
      </c>
      <c r="G120" s="154">
        <v>0.0</v>
      </c>
      <c r="H120" s="154">
        <f t="shared" si="65"/>
        <v>46</v>
      </c>
      <c r="I120" s="154">
        <f t="shared" ref="I120:I121" si="67">H120*D63</f>
        <v>207000</v>
      </c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>
      <c r="A121" s="149"/>
      <c r="B121" s="150" t="s">
        <v>236</v>
      </c>
      <c r="C121" s="154">
        <v>0.0</v>
      </c>
      <c r="D121" s="154">
        <f t="shared" ref="D121:E121" si="66">D119-D118</f>
        <v>23</v>
      </c>
      <c r="E121" s="154">
        <f t="shared" si="66"/>
        <v>9</v>
      </c>
      <c r="F121" s="154">
        <v>0.0</v>
      </c>
      <c r="G121" s="154">
        <f>G119-G118</f>
        <v>27</v>
      </c>
      <c r="H121" s="154">
        <f t="shared" si="65"/>
        <v>59</v>
      </c>
      <c r="I121" s="154">
        <f t="shared" si="67"/>
        <v>132750</v>
      </c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>
      <c r="A122" s="149"/>
      <c r="B122" s="150" t="s">
        <v>220</v>
      </c>
      <c r="C122" s="154">
        <f t="shared" ref="C122:G122" si="68">C118*$I$56</f>
        <v>126000</v>
      </c>
      <c r="D122" s="154">
        <f t="shared" si="68"/>
        <v>77700</v>
      </c>
      <c r="E122" s="154">
        <f t="shared" si="68"/>
        <v>58800</v>
      </c>
      <c r="F122" s="154">
        <f t="shared" si="68"/>
        <v>60900</v>
      </c>
      <c r="G122" s="154">
        <f t="shared" si="68"/>
        <v>4200</v>
      </c>
      <c r="H122" s="154">
        <f t="shared" si="65"/>
        <v>327600</v>
      </c>
      <c r="I122" s="152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>
      <c r="A123" s="149"/>
      <c r="B123" s="150" t="s">
        <v>222</v>
      </c>
      <c r="C123" s="154">
        <f>125534</f>
        <v>125534</v>
      </c>
      <c r="D123" s="154">
        <v>75606.0</v>
      </c>
      <c r="E123" s="154">
        <v>56886.0</v>
      </c>
      <c r="F123" s="154">
        <v>59038.0</v>
      </c>
      <c r="G123" s="154">
        <v>3390.0</v>
      </c>
      <c r="H123" s="154">
        <f t="shared" si="65"/>
        <v>320454</v>
      </c>
      <c r="I123" s="152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>
      <c r="A124" s="149"/>
      <c r="B124" s="150" t="s">
        <v>227</v>
      </c>
      <c r="C124" s="154">
        <f t="shared" ref="C124:G124" si="69">C122-C123</f>
        <v>466</v>
      </c>
      <c r="D124" s="154">
        <f t="shared" si="69"/>
        <v>2094</v>
      </c>
      <c r="E124" s="154">
        <f t="shared" si="69"/>
        <v>1914</v>
      </c>
      <c r="F124" s="154">
        <f t="shared" si="69"/>
        <v>1862</v>
      </c>
      <c r="G124" s="154">
        <f t="shared" si="69"/>
        <v>810</v>
      </c>
      <c r="H124" s="154">
        <f t="shared" si="65"/>
        <v>7146</v>
      </c>
      <c r="I124" s="154">
        <f>H124*D62</f>
        <v>14292</v>
      </c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>
      <c r="A125" s="149"/>
      <c r="B125" s="152"/>
      <c r="C125" s="152"/>
      <c r="D125" s="152"/>
      <c r="E125" s="152"/>
      <c r="F125" s="152"/>
      <c r="G125" s="152"/>
      <c r="H125" s="150" t="s">
        <v>229</v>
      </c>
      <c r="I125" s="151">
        <f>SUM(I120:I124)</f>
        <v>354042</v>
      </c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>
      <c r="A128" s="143"/>
      <c r="B128" s="181" t="s">
        <v>237</v>
      </c>
      <c r="C128" s="148"/>
      <c r="D128" s="148"/>
      <c r="E128" s="148"/>
      <c r="F128" s="148"/>
      <c r="G128" s="148"/>
      <c r="H128" s="148"/>
      <c r="I128" s="148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>
      <c r="A129" s="149"/>
      <c r="B129" s="152"/>
      <c r="C129" s="150" t="s">
        <v>164</v>
      </c>
      <c r="D129" s="150" t="s">
        <v>165</v>
      </c>
      <c r="E129" s="150" t="s">
        <v>166</v>
      </c>
      <c r="F129" s="150" t="s">
        <v>167</v>
      </c>
      <c r="G129" s="150" t="s">
        <v>168</v>
      </c>
      <c r="H129" s="150" t="s">
        <v>163</v>
      </c>
      <c r="I129" s="150" t="s">
        <v>210</v>
      </c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>
      <c r="A130" s="149"/>
      <c r="B130" s="150" t="s">
        <v>212</v>
      </c>
      <c r="C130" s="154">
        <f t="shared" ref="C130:G130" si="70">ROUNDUP(C135/$I$57,0)</f>
        <v>43</v>
      </c>
      <c r="D130" s="154">
        <f t="shared" si="70"/>
        <v>24</v>
      </c>
      <c r="E130" s="154">
        <f t="shared" si="70"/>
        <v>23</v>
      </c>
      <c r="F130" s="154">
        <f t="shared" si="70"/>
        <v>21</v>
      </c>
      <c r="G130" s="154">
        <f t="shared" si="70"/>
        <v>2</v>
      </c>
      <c r="H130" s="154">
        <f t="shared" ref="H130:H136" si="71">SUM(C130:G130)</f>
        <v>113</v>
      </c>
      <c r="I130" s="152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>
      <c r="A131" s="149"/>
      <c r="B131" s="150" t="s">
        <v>214</v>
      </c>
      <c r="C131" s="154">
        <v>20.0</v>
      </c>
      <c r="D131" s="154">
        <v>43.0</v>
      </c>
      <c r="E131" s="154">
        <v>24.0</v>
      </c>
      <c r="F131" s="154">
        <v>23.0</v>
      </c>
      <c r="G131" s="154">
        <v>21.0</v>
      </c>
      <c r="H131" s="154">
        <f t="shared" si="71"/>
        <v>131</v>
      </c>
      <c r="I131" s="152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>
      <c r="A132" s="149"/>
      <c r="B132" s="150" t="s">
        <v>226</v>
      </c>
      <c r="C132" s="154">
        <f>C130-C131</f>
        <v>23</v>
      </c>
      <c r="D132" s="154">
        <v>0.0</v>
      </c>
      <c r="E132" s="154">
        <v>0.0</v>
      </c>
      <c r="F132" s="154">
        <v>0.0</v>
      </c>
      <c r="G132" s="154">
        <v>0.0</v>
      </c>
      <c r="H132" s="154">
        <f t="shared" si="71"/>
        <v>23</v>
      </c>
      <c r="I132" s="154">
        <f t="shared" ref="I132:I133" si="73">H132*D63</f>
        <v>103500</v>
      </c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>
      <c r="A133" s="149"/>
      <c r="B133" s="150" t="s">
        <v>218</v>
      </c>
      <c r="C133" s="154">
        <v>0.0</v>
      </c>
      <c r="D133" s="154">
        <f t="shared" ref="D133:G133" si="72">D131-D130</f>
        <v>19</v>
      </c>
      <c r="E133" s="154">
        <f t="shared" si="72"/>
        <v>1</v>
      </c>
      <c r="F133" s="154">
        <f t="shared" si="72"/>
        <v>2</v>
      </c>
      <c r="G133" s="154">
        <f t="shared" si="72"/>
        <v>19</v>
      </c>
      <c r="H133" s="154">
        <f t="shared" si="71"/>
        <v>41</v>
      </c>
      <c r="I133" s="154">
        <f t="shared" si="73"/>
        <v>92250</v>
      </c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>
      <c r="A134" s="149"/>
      <c r="B134" s="150" t="s">
        <v>220</v>
      </c>
      <c r="C134" s="154">
        <f t="shared" ref="C134:G134" si="74">C130*$I$57</f>
        <v>96750</v>
      </c>
      <c r="D134" s="154">
        <f t="shared" si="74"/>
        <v>54000</v>
      </c>
      <c r="E134" s="154">
        <f t="shared" si="74"/>
        <v>51750</v>
      </c>
      <c r="F134" s="154">
        <f t="shared" si="74"/>
        <v>47250</v>
      </c>
      <c r="G134" s="154">
        <f t="shared" si="74"/>
        <v>4500</v>
      </c>
      <c r="H134" s="154">
        <f t="shared" si="71"/>
        <v>254250</v>
      </c>
      <c r="I134" s="152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>
      <c r="A135" s="149"/>
      <c r="B135" s="150" t="s">
        <v>222</v>
      </c>
      <c r="C135" s="154">
        <v>96145.0</v>
      </c>
      <c r="D135" s="154">
        <v>51865.0</v>
      </c>
      <c r="E135" s="154">
        <v>49600.0</v>
      </c>
      <c r="F135" s="154">
        <v>46080.0</v>
      </c>
      <c r="G135" s="154">
        <v>2510.0</v>
      </c>
      <c r="H135" s="154">
        <f t="shared" si="71"/>
        <v>246200</v>
      </c>
      <c r="I135" s="152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>
      <c r="A136" s="149"/>
      <c r="B136" s="150" t="s">
        <v>227</v>
      </c>
      <c r="C136" s="154">
        <f t="shared" ref="C136:G136" si="75">C134-C135</f>
        <v>605</v>
      </c>
      <c r="D136" s="154">
        <f t="shared" si="75"/>
        <v>2135</v>
      </c>
      <c r="E136" s="154">
        <f t="shared" si="75"/>
        <v>2150</v>
      </c>
      <c r="F136" s="154">
        <f t="shared" si="75"/>
        <v>1170</v>
      </c>
      <c r="G136" s="154">
        <f t="shared" si="75"/>
        <v>1990</v>
      </c>
      <c r="H136" s="154">
        <f t="shared" si="71"/>
        <v>8050</v>
      </c>
      <c r="I136" s="154">
        <f>H136*D62</f>
        <v>16100</v>
      </c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>
      <c r="A137" s="149"/>
      <c r="B137" s="152"/>
      <c r="C137" s="152"/>
      <c r="D137" s="152"/>
      <c r="E137" s="152"/>
      <c r="F137" s="152"/>
      <c r="G137" s="152"/>
      <c r="H137" s="150" t="s">
        <v>229</v>
      </c>
      <c r="I137" s="151">
        <f>SUM(I132:I136)</f>
        <v>211850</v>
      </c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>
      <c r="A140" s="143"/>
      <c r="B140" s="181" t="s">
        <v>238</v>
      </c>
      <c r="C140" s="148"/>
      <c r="D140" s="148"/>
      <c r="E140" s="148"/>
      <c r="F140" s="148"/>
      <c r="G140" s="148"/>
      <c r="H140" s="148"/>
      <c r="I140" s="148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>
      <c r="A141" s="149"/>
      <c r="B141" s="152"/>
      <c r="C141" s="150" t="s">
        <v>164</v>
      </c>
      <c r="D141" s="150" t="s">
        <v>165</v>
      </c>
      <c r="E141" s="150" t="s">
        <v>166</v>
      </c>
      <c r="F141" s="150" t="s">
        <v>167</v>
      </c>
      <c r="G141" s="150" t="s">
        <v>168</v>
      </c>
      <c r="H141" s="150" t="s">
        <v>163</v>
      </c>
      <c r="I141" s="150" t="s">
        <v>210</v>
      </c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>
      <c r="A142" s="149"/>
      <c r="B142" s="150" t="s">
        <v>212</v>
      </c>
      <c r="C142" s="154">
        <f t="shared" ref="C142:G142" si="76">ROUNDUP(C147/$I$58,0)</f>
        <v>47</v>
      </c>
      <c r="D142" s="154">
        <f t="shared" si="76"/>
        <v>22</v>
      </c>
      <c r="E142" s="154">
        <f t="shared" si="76"/>
        <v>20</v>
      </c>
      <c r="F142" s="154">
        <f t="shared" si="76"/>
        <v>20</v>
      </c>
      <c r="G142" s="154">
        <f t="shared" si="76"/>
        <v>1</v>
      </c>
      <c r="H142" s="154">
        <f t="shared" ref="H142:H148" si="77">SUM(C142:G142)</f>
        <v>110</v>
      </c>
      <c r="I142" s="152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>
      <c r="A143" s="149"/>
      <c r="B143" s="150" t="s">
        <v>214</v>
      </c>
      <c r="C143" s="154">
        <v>5.0</v>
      </c>
      <c r="D143" s="154">
        <v>47.0</v>
      </c>
      <c r="E143" s="154">
        <v>22.0</v>
      </c>
      <c r="F143" s="154">
        <v>20.0</v>
      </c>
      <c r="G143" s="154">
        <v>20.0</v>
      </c>
      <c r="H143" s="154">
        <f t="shared" si="77"/>
        <v>114</v>
      </c>
      <c r="I143" s="152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>
      <c r="A144" s="149"/>
      <c r="B144" s="150" t="s">
        <v>226</v>
      </c>
      <c r="C144" s="154">
        <f>C142-C143</f>
        <v>42</v>
      </c>
      <c r="D144" s="154">
        <v>0.0</v>
      </c>
      <c r="E144" s="154">
        <v>0.0</v>
      </c>
      <c r="F144" s="154">
        <v>0.0</v>
      </c>
      <c r="G144" s="154">
        <v>0.0</v>
      </c>
      <c r="H144" s="154">
        <f t="shared" si="77"/>
        <v>42</v>
      </c>
      <c r="I144" s="154">
        <f t="shared" ref="I144:I145" si="79">H144*D63</f>
        <v>189000</v>
      </c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>
      <c r="A145" s="149"/>
      <c r="B145" s="150" t="s">
        <v>218</v>
      </c>
      <c r="C145" s="154">
        <v>0.0</v>
      </c>
      <c r="D145" s="154">
        <f t="shared" ref="D145:E145" si="78">D143-D142</f>
        <v>25</v>
      </c>
      <c r="E145" s="154">
        <f t="shared" si="78"/>
        <v>2</v>
      </c>
      <c r="F145" s="154">
        <v>0.0</v>
      </c>
      <c r="G145" s="154">
        <f>G143-G142</f>
        <v>19</v>
      </c>
      <c r="H145" s="154">
        <f t="shared" si="77"/>
        <v>46</v>
      </c>
      <c r="I145" s="154">
        <f t="shared" si="79"/>
        <v>103500</v>
      </c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>
      <c r="A146" s="149"/>
      <c r="B146" s="150" t="s">
        <v>220</v>
      </c>
      <c r="C146" s="154">
        <f t="shared" ref="C146:G146" si="80">C142*$I$58</f>
        <v>101050</v>
      </c>
      <c r="D146" s="154">
        <f t="shared" si="80"/>
        <v>47300</v>
      </c>
      <c r="E146" s="154">
        <f t="shared" si="80"/>
        <v>43000</v>
      </c>
      <c r="F146" s="154">
        <f t="shared" si="80"/>
        <v>43000</v>
      </c>
      <c r="G146" s="154">
        <f t="shared" si="80"/>
        <v>2150</v>
      </c>
      <c r="H146" s="154">
        <f t="shared" si="77"/>
        <v>236500</v>
      </c>
      <c r="I146" s="152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>
      <c r="A147" s="149"/>
      <c r="B147" s="150" t="s">
        <v>222</v>
      </c>
      <c r="C147" s="154">
        <v>98937.0</v>
      </c>
      <c r="D147" s="154">
        <v>47172.0</v>
      </c>
      <c r="E147" s="154">
        <v>42605.0</v>
      </c>
      <c r="F147" s="154">
        <v>42955.0</v>
      </c>
      <c r="G147" s="154">
        <v>545.0</v>
      </c>
      <c r="H147" s="154">
        <f t="shared" si="77"/>
        <v>232214</v>
      </c>
      <c r="I147" s="152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>
      <c r="A148" s="149"/>
      <c r="B148" s="150" t="s">
        <v>223</v>
      </c>
      <c r="C148" s="154">
        <f t="shared" ref="C148:G148" si="81">C146-C147</f>
        <v>2113</v>
      </c>
      <c r="D148" s="154">
        <f t="shared" si="81"/>
        <v>128</v>
      </c>
      <c r="E148" s="154">
        <f t="shared" si="81"/>
        <v>395</v>
      </c>
      <c r="F148" s="154">
        <f t="shared" si="81"/>
        <v>45</v>
      </c>
      <c r="G148" s="154">
        <f t="shared" si="81"/>
        <v>1605</v>
      </c>
      <c r="H148" s="154">
        <f t="shared" si="77"/>
        <v>4286</v>
      </c>
      <c r="I148" s="154">
        <f>H148*D62</f>
        <v>8572</v>
      </c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>
      <c r="A149" s="149"/>
      <c r="B149" s="152"/>
      <c r="C149" s="152"/>
      <c r="D149" s="152"/>
      <c r="E149" s="152"/>
      <c r="F149" s="152"/>
      <c r="G149" s="152"/>
      <c r="H149" s="150" t="s">
        <v>224</v>
      </c>
      <c r="I149" s="151">
        <f>SUM(I144:I148)</f>
        <v>301072</v>
      </c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>
      <c r="A151" s="143"/>
      <c r="B151" s="143"/>
      <c r="C151" s="143"/>
      <c r="D151" s="143"/>
      <c r="E151" s="143"/>
      <c r="F151" s="143"/>
      <c r="G151" s="143"/>
      <c r="H151" s="188" t="s">
        <v>209</v>
      </c>
      <c r="I151" s="189">
        <f> SUM(I76+I88+I101+I113+I125+I137+I149)</f>
        <v>1698612</v>
      </c>
      <c r="J151" s="190" t="s">
        <v>239</v>
      </c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  <row r="994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</row>
    <row r="995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</row>
    <row r="996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</row>
    <row r="997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</row>
    <row r="998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</row>
    <row r="999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</row>
    <row r="1000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2023-10-23T02:57:10Z</dcterms:created>
  <dc:creator>Ata Bahar</dc:creator>
</cp:coreProperties>
</file>