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Commentaires" sheetId="1" state="visible" r:id="rId1"/>
    <sheet name="Données" sheetId="2" state="visible" r:id="rId2"/>
    <sheet name="Amortissements et maintenance" sheetId="3" state="visible" r:id="rId3"/>
    <sheet name="Budget 2022" sheetId="4" state="visible" r:id="rId4"/>
  </sheets>
  <calcPr/>
</workbook>
</file>

<file path=xl/sharedStrings.xml><?xml version="1.0" encoding="utf-8"?>
<sst xmlns="http://schemas.openxmlformats.org/spreadsheetml/2006/main" count="91" uniqueCount="91">
  <si>
    <t xml:space="preserve">On vous demande de préparer le budget du service informatique pour </t>
  </si>
  <si>
    <t xml:space="preserve">Remarque: En l'absence d'autres informations, considérez que vous dépenserez en</t>
  </si>
  <si>
    <t xml:space="preserve">de plus que ce que</t>
  </si>
  <si>
    <t xml:space="preserve">avez réellement dépensé en 2021.</t>
  </si>
  <si>
    <t xml:space="preserve">Etablissez le budget </t>
  </si>
  <si>
    <t xml:space="preserve">et comparez-le à l'année précédente.</t>
  </si>
  <si>
    <t xml:space="preserve">Faites le ratio Budget Info / Chiffre d'affaires de l'entreprise pour les 2 années.</t>
  </si>
  <si>
    <t xml:space="preserve">Préparez une présentation de ce budget à votre PDG.</t>
  </si>
  <si>
    <t xml:space="preserve">Budget informatique</t>
  </si>
  <si>
    <t xml:space="preserve">Effectif pour</t>
  </si>
  <si>
    <t xml:space="preserve">identique à celui de </t>
  </si>
  <si>
    <t xml:space="preserve">Salaires 2022</t>
  </si>
  <si>
    <t>Fonction</t>
  </si>
  <si>
    <t xml:space="preserve">Salaire mensuel brut</t>
  </si>
  <si>
    <t>Yann</t>
  </si>
  <si>
    <t>Hakepourlui</t>
  </si>
  <si>
    <t xml:space="preserve">Directeur informatique</t>
  </si>
  <si>
    <t>Axel</t>
  </si>
  <si>
    <t>Aire</t>
  </si>
  <si>
    <t xml:space="preserve">Chef de projet</t>
  </si>
  <si>
    <t>Rob</t>
  </si>
  <si>
    <t>Ho</t>
  </si>
  <si>
    <t>Développeur</t>
  </si>
  <si>
    <t>Anna</t>
  </si>
  <si>
    <t>Lise</t>
  </si>
  <si>
    <t>Jean</t>
  </si>
  <si>
    <t>Némard</t>
  </si>
  <si>
    <t xml:space="preserve">Responsable matériel</t>
  </si>
  <si>
    <t>Sarah</t>
  </si>
  <si>
    <t>Courci</t>
  </si>
  <si>
    <t>Total</t>
  </si>
  <si>
    <t xml:space="preserve">Taux de charges patronales:  </t>
  </si>
  <si>
    <t xml:space="preserve">du salaire brut</t>
  </si>
  <si>
    <t>Matériels</t>
  </si>
  <si>
    <t>Description</t>
  </si>
  <si>
    <t xml:space="preserve">Prix catalogue</t>
  </si>
  <si>
    <t xml:space="preserve">Prix d'achat</t>
  </si>
  <si>
    <t xml:space="preserve">Date d'achat</t>
  </si>
  <si>
    <t xml:space="preserve">Durée amort</t>
  </si>
  <si>
    <t>Euros</t>
  </si>
  <si>
    <t>Années</t>
  </si>
  <si>
    <t xml:space="preserve">Ordi 1</t>
  </si>
  <si>
    <t xml:space="preserve">Ordi 2</t>
  </si>
  <si>
    <t xml:space="preserve">Ordi 3</t>
  </si>
  <si>
    <t xml:space="preserve">Ordi 4</t>
  </si>
  <si>
    <t xml:space="preserve">Ordi 5</t>
  </si>
  <si>
    <t xml:space="preserve">Ordi 6</t>
  </si>
  <si>
    <t xml:space="preserve">Ordi 7</t>
  </si>
  <si>
    <t xml:space="preserve">Serveur 1</t>
  </si>
  <si>
    <t xml:space="preserve">Serveur 2</t>
  </si>
  <si>
    <t xml:space="preserve">Imprimante 1</t>
  </si>
  <si>
    <t xml:space="preserve">Imprimante 2</t>
  </si>
  <si>
    <t xml:space="preserve">Imprimante 3</t>
  </si>
  <si>
    <t>Logiciels</t>
  </si>
  <si>
    <t xml:space="preserve">Logiciel 1</t>
  </si>
  <si>
    <t xml:space="preserve">Logiciel 2</t>
  </si>
  <si>
    <t xml:space="preserve">Logiciel 3</t>
  </si>
  <si>
    <t xml:space="preserve">Logiciel 4</t>
  </si>
  <si>
    <t xml:space="preserve">Logiciel 5</t>
  </si>
  <si>
    <t xml:space="preserve">La poliique de l'entreprise est de consacrer</t>
  </si>
  <si>
    <t xml:space="preserve">de la masse salariale brute à la formation.</t>
  </si>
  <si>
    <t>budget</t>
  </si>
  <si>
    <t xml:space="preserve">Frais généraux (FG)</t>
  </si>
  <si>
    <t xml:space="preserve">Les FG sont répartis au pro-rata des effectifs de chaque service.</t>
  </si>
  <si>
    <t xml:space="preserve">Effectif total</t>
  </si>
  <si>
    <t>CA</t>
  </si>
  <si>
    <t xml:space="preserve">Coût de la maintenance matériel</t>
  </si>
  <si>
    <t xml:space="preserve">du prix d'achat catalogue</t>
  </si>
  <si>
    <t xml:space="preserve">Coût de la maintenance logiciel</t>
  </si>
  <si>
    <t xml:space="preserve">Autres informations: Réel pour</t>
  </si>
  <si>
    <t xml:space="preserve">Masse salariale</t>
  </si>
  <si>
    <t xml:space="preserve">Amortissement logiciel</t>
  </si>
  <si>
    <t xml:space="preserve">Amortissement matériel</t>
  </si>
  <si>
    <t xml:space="preserve">Maintenance matériel</t>
  </si>
  <si>
    <t xml:space="preserve">Maintenance logiciel</t>
  </si>
  <si>
    <t xml:space="preserve">Prestataires extérieurs</t>
  </si>
  <si>
    <t>Formation</t>
  </si>
  <si>
    <t xml:space="preserve">Déplacements et Réceptions</t>
  </si>
  <si>
    <t>Consommables</t>
  </si>
  <si>
    <t xml:space="preserve">Calcul au</t>
  </si>
  <si>
    <t xml:space="preserve">Amort annuel</t>
  </si>
  <si>
    <t xml:space="preserve">Age début exercice</t>
  </si>
  <si>
    <t xml:space="preserve">Amort 2022</t>
  </si>
  <si>
    <t xml:space="preserve">Maintenance Matériel</t>
  </si>
  <si>
    <t>Taux</t>
  </si>
  <si>
    <t xml:space="preserve">Coût annuel</t>
  </si>
  <si>
    <t xml:space="preserve">Coût mensuel</t>
  </si>
  <si>
    <t xml:space="preserve">Maintenance Logiciel</t>
  </si>
  <si>
    <t xml:space="preserve">       Budget pour l'année à venir  </t>
  </si>
  <si>
    <t xml:space="preserve">Quote-part des FG</t>
  </si>
  <si>
    <t xml:space="preserve">Ratio Budget Info /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</si>
</sst>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_-* #,##0.00\ _€_-;\-* #,##0.00\ _€_-;_-* &quot;-&quot;??\ _€_-;_-@_-"/>
    <numFmt numFmtId="161" formatCode="#,##0_ ;\-#,##0\ "/>
    <numFmt numFmtId="162" formatCode="_-* #,##0\ _€_-;\-* #,##0\ _€_-;_-* &quot;-&quot;??\ _€_-;_-@_-"/>
    <numFmt numFmtId="163" formatCode="0.0"/>
    <numFmt numFmtId="164" formatCode="0.0%"/>
  </numFmts>
  <fonts count="8">
    <font>
      <name val="Calibri"/>
      <color theme="1"/>
      <sz val="11.000000"/>
      <scheme val="minor"/>
    </font>
    <font>
      <name val="Arial"/>
      <color theme="1"/>
      <sz val="11.000000"/>
    </font>
    <font>
      <name val="Arial"/>
      <color theme="1"/>
      <sz val="14.000000"/>
    </font>
    <font>
      <name val="Arial"/>
      <i/>
      <color theme="1"/>
      <sz val="12.000000"/>
    </font>
    <font>
      <name val="Arial"/>
      <color theme="1"/>
      <sz val="12.000000"/>
    </font>
    <font>
      <name val="Arial"/>
      <color theme="1"/>
      <sz val="20.000000"/>
    </font>
    <font>
      <name val="Arial"/>
      <i/>
      <color theme="1"/>
      <sz val="14.000000"/>
    </font>
    <font>
      <name val="Calibri"/>
      <color theme="1"/>
      <sz val="12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fontId="0" fillId="0" borderId="0" numFmtId="0" applyNumberFormat="1" applyFont="1" applyFill="1" applyBorder="1"/>
    <xf fontId="0" fillId="0" borderId="0" numFmtId="160" applyNumberFormat="1" applyFont="0" applyFill="0" applyBorder="0"/>
    <xf fontId="0" fillId="0" borderId="0" numFmtId="9" applyNumberFormat="1" applyFont="0" applyFill="0" applyBorder="0"/>
  </cellStyleXfs>
  <cellXfs count="63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3" fillId="0" borderId="0" numFmtId="0" xfId="0" applyFont="1" applyAlignment="1">
      <alignment horizontal="center"/>
    </xf>
    <xf fontId="3" fillId="0" borderId="0" numFmtId="9" xfId="0" applyNumberFormat="1" applyFont="1"/>
    <xf fontId="4" fillId="0" borderId="0" numFmtId="0" xfId="0" applyFont="1"/>
    <xf fontId="4" fillId="0" borderId="0" numFmtId="0" xfId="0" applyFont="1" applyAlignment="1">
      <alignment horizontal="center"/>
    </xf>
    <xf fontId="5" fillId="0" borderId="0" numFmtId="0" xfId="0" applyFont="1"/>
    <xf fontId="5" fillId="2" borderId="0" numFmtId="0" xfId="0" applyFont="1" applyFill="1" applyAlignment="1">
      <alignment horizontal="center"/>
    </xf>
    <xf fontId="2" fillId="0" borderId="0" numFmtId="0" xfId="0" applyFont="1" applyAlignment="1">
      <alignment horizontal="center"/>
    </xf>
    <xf fontId="2" fillId="0" borderId="0" numFmtId="0" xfId="0" applyFont="1" applyAlignment="1">
      <alignment horizontal="left"/>
    </xf>
    <xf fontId="6" fillId="0" borderId="1" numFmtId="0" xfId="0" applyFont="1" applyBorder="1" applyAlignment="1">
      <alignment horizontal="center"/>
    </xf>
    <xf fontId="6" fillId="0" borderId="2" numFmtId="0" xfId="0" applyFont="1" applyBorder="1" applyAlignment="1">
      <alignment horizontal="center"/>
    </xf>
    <xf fontId="2" fillId="0" borderId="3" numFmtId="0" xfId="0" applyFont="1" applyBorder="1" applyAlignment="1">
      <alignment horizontal="center" vertical="center"/>
    </xf>
    <xf fontId="2" fillId="0" borderId="3" numFmtId="0" xfId="0" applyFont="1" applyBorder="1"/>
    <xf fontId="2" fillId="0" borderId="3" numFmtId="161" xfId="1" applyNumberFormat="1" applyFont="1" applyBorder="1" applyAlignment="1">
      <alignment horizontal="center"/>
    </xf>
    <xf fontId="2" fillId="0" borderId="0" numFmtId="0" xfId="0" applyFont="1" applyAlignment="1">
      <alignment horizontal="right"/>
    </xf>
    <xf fontId="2" fillId="0" borderId="0" numFmtId="9" xfId="0" applyNumberFormat="1" applyFont="1" applyAlignment="1">
      <alignment horizontal="center"/>
    </xf>
    <xf fontId="2" fillId="0" borderId="3" numFmtId="0" xfId="0" applyFont="1" applyBorder="1" applyAlignment="1">
      <alignment horizontal="center"/>
    </xf>
    <xf fontId="2" fillId="0" borderId="0" numFmtId="0" xfId="0" applyFont="1" applyAlignment="1">
      <alignment horizontal="center" vertical="center"/>
    </xf>
    <xf fontId="2" fillId="0" borderId="3" numFmtId="14" xfId="0" applyNumberFormat="1" applyFont="1" applyBorder="1" applyAlignment="1">
      <alignment horizontal="center"/>
    </xf>
    <xf fontId="2" fillId="0" borderId="0" numFmtId="9" xfId="0" applyNumberFormat="1" applyFont="1"/>
    <xf fontId="2" fillId="0" borderId="0" numFmtId="162" xfId="1" applyNumberFormat="1" applyFont="1" applyAlignment="1">
      <alignment horizontal="center"/>
    </xf>
    <xf fontId="2" fillId="0" borderId="3" numFmtId="161" xfId="1" applyNumberFormat="1" applyFont="1" applyBorder="1" applyAlignment="1">
      <alignment horizontal="center" vertical="center"/>
    </xf>
    <xf fontId="2" fillId="0" borderId="3" numFmtId="9" xfId="0" applyNumberFormat="1" applyFont="1" applyBorder="1" applyAlignment="1">
      <alignment horizontal="center"/>
    </xf>
    <xf fontId="2" fillId="0" borderId="0" numFmtId="161" xfId="0" applyNumberFormat="1" applyFont="1" applyAlignment="1">
      <alignment horizontal="left"/>
    </xf>
    <xf fontId="2" fillId="0" borderId="1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2" fillId="0" borderId="3" numFmtId="3" xfId="0" applyNumberFormat="1" applyFont="1" applyBorder="1" applyAlignment="1">
      <alignment horizontal="center" vertical="center"/>
    </xf>
    <xf fontId="2" fillId="0" borderId="2" numFmtId="3" xfId="0" applyNumberFormat="1" applyFont="1" applyBorder="1" applyAlignment="1">
      <alignment horizontal="center" vertical="center"/>
    </xf>
    <xf fontId="2" fillId="0" borderId="1" numFmtId="0" xfId="0" applyFont="1" applyBorder="1" applyAlignment="1">
      <alignment horizontal="center"/>
    </xf>
    <xf fontId="2" fillId="0" borderId="2" numFmtId="0" xfId="0" applyFont="1" applyBorder="1" applyAlignment="1">
      <alignment horizontal="center"/>
    </xf>
    <xf fontId="2" fillId="0" borderId="2" numFmtId="3" xfId="0" applyNumberFormat="1" applyFont="1" applyBorder="1" applyAlignment="1">
      <alignment horizontal="center"/>
    </xf>
    <xf fontId="0" fillId="0" borderId="0" numFmtId="14" xfId="0" applyNumberFormat="1"/>
    <xf fontId="0" fillId="0" borderId="3" numFmtId="0" xfId="0" applyBorder="1"/>
    <xf fontId="0" fillId="0" borderId="3" numFmtId="3" xfId="0" applyNumberFormat="1" applyBorder="1" applyAlignment="1">
      <alignment horizontal="center"/>
    </xf>
    <xf fontId="0" fillId="0" borderId="3" numFmtId="14" xfId="0" applyNumberFormat="1" applyBorder="1"/>
    <xf fontId="0" fillId="0" borderId="3" numFmtId="0" xfId="0" applyBorder="1" applyAlignment="1">
      <alignment horizontal="center"/>
    </xf>
    <xf fontId="0" fillId="0" borderId="3" numFmtId="161" xfId="1" applyNumberFormat="1" applyBorder="1" applyAlignment="1">
      <alignment horizontal="center"/>
    </xf>
    <xf fontId="0" fillId="0" borderId="3" numFmtId="14" xfId="0" applyNumberFormat="1" applyBorder="1"/>
    <xf fontId="7" fillId="0" borderId="3" numFmtId="0" xfId="0" applyFont="1" applyBorder="1"/>
    <xf fontId="7" fillId="0" borderId="3" numFmtId="3" xfId="0" applyNumberFormat="1" applyFont="1" applyBorder="1" applyAlignment="1">
      <alignment horizontal="center"/>
    </xf>
    <xf fontId="0" fillId="0" borderId="3" numFmtId="1" xfId="0" applyNumberFormat="1" applyBorder="1"/>
    <xf fontId="0" fillId="0" borderId="3" numFmtId="3" xfId="0" applyNumberFormat="1" applyBorder="1" applyAlignment="1">
      <alignment horizontal="center"/>
    </xf>
    <xf fontId="7" fillId="0" borderId="3" numFmtId="3" xfId="0" applyNumberFormat="1" applyFont="1" applyBorder="1"/>
    <xf fontId="0" fillId="0" borderId="3" numFmtId="3" xfId="0" applyNumberFormat="1" applyBorder="1"/>
    <xf fontId="0" fillId="0" borderId="3" numFmtId="0" xfId="0" applyBorder="1" applyAlignment="1">
      <alignment horizontal="right"/>
    </xf>
    <xf fontId="0" fillId="0" borderId="1" numFmtId="9" xfId="0" applyNumberFormat="1" applyBorder="1" applyAlignment="1">
      <alignment horizontal="center"/>
    </xf>
    <xf fontId="0" fillId="0" borderId="3" numFmtId="163" xfId="0" applyNumberFormat="1" applyBorder="1"/>
    <xf fontId="5" fillId="0" borderId="0" numFmtId="0" xfId="0" applyFont="1" applyAlignment="1">
      <alignment horizontal="right"/>
    </xf>
    <xf fontId="5" fillId="0" borderId="0" numFmtId="0" xfId="0" applyFont="1" applyAlignment="1">
      <alignment horizontal="left"/>
    </xf>
    <xf fontId="1" fillId="0" borderId="0" numFmtId="0" xfId="0" applyFont="1" applyAlignment="1">
      <alignment vertical="center"/>
    </xf>
    <xf fontId="2" fillId="0" borderId="3" numFmtId="0" xfId="0" applyFont="1" applyBorder="1" applyAlignment="1">
      <alignment vertical="center"/>
    </xf>
    <xf fontId="2" fillId="0" borderId="0" numFmtId="0" xfId="0" applyFont="1" applyAlignment="1">
      <alignment vertical="center"/>
    </xf>
    <xf fontId="2" fillId="0" borderId="0" numFmtId="3" xfId="0" applyNumberFormat="1" applyFont="1" applyAlignment="1">
      <alignment vertical="center"/>
    </xf>
    <xf fontId="1" fillId="0" borderId="0" numFmtId="9" xfId="2" applyNumberFormat="1" applyFont="1" applyAlignment="1">
      <alignment vertical="center"/>
    </xf>
    <xf fontId="1" fillId="0" borderId="0" numFmtId="3" xfId="0" applyNumberFormat="1" applyFont="1" applyAlignment="1">
      <alignment vertical="center"/>
    </xf>
    <xf fontId="2" fillId="0" borderId="0" numFmtId="3" xfId="0" applyNumberFormat="1" applyFont="1"/>
    <xf fontId="1" fillId="0" borderId="0" numFmtId="3" xfId="0" applyNumberFormat="1" applyFont="1"/>
    <xf fontId="2" fillId="0" borderId="3" numFmtId="10" xfId="2" applyNumberFormat="1" applyFont="1" applyBorder="1"/>
    <xf fontId="2" fillId="0" borderId="0" numFmtId="164" xfId="2" applyNumberFormat="1" applyFont="1"/>
    <xf fontId="1" fillId="0" borderId="0" numFmtId="164" xfId="2" applyNumberFormat="1" applyFon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27" activeCellId="0" sqref="G27"/>
    </sheetView>
  </sheetViews>
  <sheetFormatPr baseColWidth="10" defaultColWidth="11.42578125" defaultRowHeight="14.25"/>
  <cols>
    <col customWidth="1" min="1" max="1" style="1" width="4.28515625"/>
    <col min="2" max="8" style="1" width="11.42578125"/>
    <col customWidth="1" min="9" max="9" style="1" width="6.42578125"/>
    <col customWidth="1" min="10" max="10" style="1" width="9"/>
    <col customWidth="1" min="11" max="11" style="1" width="6.5703125"/>
    <col customWidth="1" min="12" max="12" style="1" width="7.42578125"/>
    <col min="13" max="13" style="1" width="11.42578125"/>
    <col customWidth="1" min="14" max="14" style="1" width="4.7109375"/>
    <col min="15" max="16384" style="1" width="11.42578125"/>
  </cols>
  <sheetData>
    <row r="2" ht="16.5">
      <c r="B2" s="2" t="s">
        <v>0</v>
      </c>
      <c r="J2" s="2">
        <f>+Données!C3</f>
        <v>2022</v>
      </c>
    </row>
    <row r="4" ht="15">
      <c r="B4" s="3" t="s">
        <v>1</v>
      </c>
      <c r="J4" s="4">
        <f>+J2</f>
        <v>2022</v>
      </c>
      <c r="K4" s="5">
        <v>0.050000000000000003</v>
      </c>
      <c r="L4" s="3" t="s">
        <v>2</v>
      </c>
    </row>
    <row r="5" ht="15">
      <c r="B5" s="3" t="s">
        <v>3</v>
      </c>
    </row>
    <row r="7" ht="15">
      <c r="B7" s="6" t="s">
        <v>4</v>
      </c>
      <c r="C7" s="6"/>
      <c r="D7" s="7">
        <f>+J4</f>
        <v>2022</v>
      </c>
      <c r="E7" s="6" t="s">
        <v>5</v>
      </c>
    </row>
    <row r="8" ht="15">
      <c r="B8" s="6"/>
      <c r="C8" s="6"/>
      <c r="D8" s="6"/>
      <c r="E8" s="6"/>
    </row>
    <row r="9" ht="15">
      <c r="B9" s="6" t="s">
        <v>6</v>
      </c>
      <c r="C9" s="6"/>
      <c r="D9" s="6"/>
      <c r="E9" s="6"/>
    </row>
    <row r="11" ht="15">
      <c r="B11" s="6" t="s">
        <v>7</v>
      </c>
    </row>
  </sheetData>
  <printOptions headings="0" gridLines="0"/>
  <pageMargins left="0.55118110236220474" right="0.70866141732283472" top="0.74803149606299213" bottom="0.74803149606299213" header="0.31496062992125984" footer="0.31496062992125984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80">
      <selection activeCell="U7" activeCellId="0" sqref="U7"/>
    </sheetView>
  </sheetViews>
  <sheetFormatPr baseColWidth="10" defaultColWidth="11.42578125" defaultRowHeight="14.25"/>
  <cols>
    <col customWidth="1" min="1" max="1" style="2" width="3.5703125"/>
    <col customWidth="1" min="2" max="2" style="2" width="24.42578125"/>
    <col customWidth="1" min="3" max="3" style="2" width="27.140625"/>
    <col customWidth="1" min="4" max="4" style="2" width="26.5703125"/>
    <col customWidth="1" min="5" max="5" style="2" width="25"/>
    <col customWidth="1" min="6" max="6" style="2" width="17.28515625"/>
    <col customWidth="1" min="7" max="22" style="2" width="5.85546875"/>
    <col min="23" max="16384" style="2" width="11.42578125"/>
  </cols>
  <sheetData>
    <row r="1" ht="24">
      <c r="B1" s="8" t="s">
        <v>8</v>
      </c>
      <c r="D1" s="9">
        <v>2022</v>
      </c>
    </row>
    <row r="2" ht="15" customHeight="1"/>
    <row r="3" ht="16.5">
      <c r="B3" s="2" t="s">
        <v>9</v>
      </c>
      <c r="C3" s="10">
        <f>+D1</f>
        <v>2022</v>
      </c>
      <c r="D3" s="10" t="s">
        <v>10</v>
      </c>
      <c r="E3" s="11">
        <f>+C3-1</f>
        <v>2021</v>
      </c>
    </row>
    <row r="4" ht="6.75" customHeight="1"/>
    <row r="5" ht="16.5">
      <c r="B5" s="12" t="s">
        <v>11</v>
      </c>
      <c r="C5" s="13"/>
      <c r="D5" s="14" t="s">
        <v>12</v>
      </c>
      <c r="E5" s="15" t="s">
        <v>13</v>
      </c>
    </row>
    <row r="6" ht="16.5">
      <c r="A6" s="2">
        <v>1</v>
      </c>
      <c r="B6" s="15" t="s">
        <v>14</v>
      </c>
      <c r="C6" s="15" t="s">
        <v>15</v>
      </c>
      <c r="D6" s="15" t="s">
        <v>16</v>
      </c>
      <c r="E6" s="16">
        <v>6000</v>
      </c>
    </row>
    <row r="7" ht="16.5">
      <c r="A7" s="2">
        <v>2</v>
      </c>
      <c r="B7" s="15" t="s">
        <v>17</v>
      </c>
      <c r="C7" s="15" t="s">
        <v>18</v>
      </c>
      <c r="D7" s="15" t="s">
        <v>19</v>
      </c>
      <c r="E7" s="16">
        <v>4500</v>
      </c>
    </row>
    <row r="8" ht="16.5">
      <c r="A8" s="2">
        <v>3</v>
      </c>
      <c r="B8" s="15" t="s">
        <v>20</v>
      </c>
      <c r="C8" s="15" t="s">
        <v>21</v>
      </c>
      <c r="D8" s="15" t="s">
        <v>22</v>
      </c>
      <c r="E8" s="16">
        <v>3000</v>
      </c>
    </row>
    <row r="9" ht="16.5">
      <c r="A9" s="2">
        <v>4</v>
      </c>
      <c r="B9" s="15" t="s">
        <v>23</v>
      </c>
      <c r="C9" s="15" t="s">
        <v>24</v>
      </c>
      <c r="D9" s="15" t="s">
        <v>22</v>
      </c>
      <c r="E9" s="16">
        <v>2500</v>
      </c>
    </row>
    <row r="10" ht="16.5">
      <c r="A10" s="2">
        <v>5</v>
      </c>
      <c r="B10" s="15" t="s">
        <v>25</v>
      </c>
      <c r="C10" s="15" t="s">
        <v>26</v>
      </c>
      <c r="D10" s="15" t="s">
        <v>27</v>
      </c>
      <c r="E10" s="16">
        <v>2500</v>
      </c>
    </row>
    <row r="11" ht="16.5">
      <c r="A11" s="2">
        <v>6</v>
      </c>
      <c r="B11" s="15" t="s">
        <v>28</v>
      </c>
      <c r="C11" s="15" t="s">
        <v>29</v>
      </c>
      <c r="D11" s="15" t="s">
        <v>22</v>
      </c>
      <c r="E11" s="16">
        <v>2200</v>
      </c>
    </row>
    <row r="12" ht="16.5">
      <c r="B12" s="15" t="s">
        <v>30</v>
      </c>
      <c r="C12" s="15"/>
      <c r="D12" s="15"/>
      <c r="E12" s="16">
        <f>SUM(E6:E11)</f>
        <v>20700</v>
      </c>
    </row>
    <row r="13" ht="6.75" customHeight="1"/>
    <row r="14" ht="16.5">
      <c r="C14" s="17" t="s">
        <v>31</v>
      </c>
      <c r="D14" s="18">
        <v>0.45000000000000001</v>
      </c>
      <c r="E14" s="2" t="s">
        <v>32</v>
      </c>
    </row>
    <row r="16" ht="16.5">
      <c r="B16" s="2" t="s">
        <v>33</v>
      </c>
    </row>
    <row r="17" ht="10.5" customHeight="1"/>
    <row r="18" ht="16.5">
      <c r="B18" s="19" t="s">
        <v>34</v>
      </c>
      <c r="C18" s="19" t="s">
        <v>35</v>
      </c>
      <c r="D18" s="19" t="s">
        <v>36</v>
      </c>
      <c r="E18" s="19" t="s">
        <v>37</v>
      </c>
      <c r="F18" s="15" t="s">
        <v>38</v>
      </c>
    </row>
    <row r="19" s="20" customFormat="1" ht="16.5">
      <c r="B19" s="14"/>
      <c r="C19" s="14" t="s">
        <v>39</v>
      </c>
      <c r="D19" s="14" t="s">
        <v>39</v>
      </c>
      <c r="E19" s="14"/>
      <c r="F19" s="14" t="s">
        <v>40</v>
      </c>
    </row>
    <row r="20" ht="16.5">
      <c r="B20" s="19" t="s">
        <v>41</v>
      </c>
      <c r="C20" s="16">
        <v>2000</v>
      </c>
      <c r="D20" s="16">
        <f t="shared" ref="D20:D31" si="0">+C20*0.75</f>
        <v>1500</v>
      </c>
      <c r="E20" s="21">
        <f>DATE($C$3-4,1,1)</f>
        <v>43101</v>
      </c>
      <c r="F20" s="19">
        <v>3</v>
      </c>
    </row>
    <row r="21" ht="16.5">
      <c r="B21" s="19" t="s">
        <v>42</v>
      </c>
      <c r="C21" s="16">
        <v>1600</v>
      </c>
      <c r="D21" s="16">
        <f t="shared" si="0"/>
        <v>1200</v>
      </c>
      <c r="E21" s="21">
        <f>DATE($C$3-1,1,1)</f>
        <v>44197</v>
      </c>
      <c r="F21" s="19">
        <v>3</v>
      </c>
    </row>
    <row r="22" ht="16.5">
      <c r="B22" s="19" t="s">
        <v>43</v>
      </c>
      <c r="C22" s="16">
        <v>1000</v>
      </c>
      <c r="D22" s="16">
        <f t="shared" si="0"/>
        <v>750</v>
      </c>
      <c r="E22" s="21">
        <f>DATE($C$3-3,1,1)</f>
        <v>43466</v>
      </c>
      <c r="F22" s="19">
        <v>3</v>
      </c>
    </row>
    <row r="23" ht="16.5">
      <c r="B23" s="19" t="s">
        <v>44</v>
      </c>
      <c r="C23" s="16">
        <v>2000</v>
      </c>
      <c r="D23" s="16">
        <f t="shared" si="0"/>
        <v>1500</v>
      </c>
      <c r="E23" s="21">
        <f>DATE($C$3-2,1,1)</f>
        <v>43831</v>
      </c>
      <c r="F23" s="19">
        <v>3</v>
      </c>
    </row>
    <row r="24" ht="16.5">
      <c r="B24" s="19" t="s">
        <v>45</v>
      </c>
      <c r="C24" s="16">
        <v>2400</v>
      </c>
      <c r="D24" s="16">
        <f t="shared" si="0"/>
        <v>1800</v>
      </c>
      <c r="E24" s="21">
        <f>DATE($C$3-3,1,1)</f>
        <v>43466</v>
      </c>
      <c r="F24" s="19">
        <v>3</v>
      </c>
    </row>
    <row r="25" ht="16.5">
      <c r="B25" s="19" t="s">
        <v>46</v>
      </c>
      <c r="C25" s="16">
        <v>1200</v>
      </c>
      <c r="D25" s="16">
        <f t="shared" si="0"/>
        <v>900</v>
      </c>
      <c r="E25" s="21">
        <f>DATE($C$3-2,1,1)</f>
        <v>43831</v>
      </c>
      <c r="F25" s="19">
        <v>3</v>
      </c>
    </row>
    <row r="26" ht="16.5">
      <c r="B26" s="19" t="s">
        <v>47</v>
      </c>
      <c r="C26" s="16">
        <v>1600</v>
      </c>
      <c r="D26" s="16">
        <f t="shared" si="0"/>
        <v>1200</v>
      </c>
      <c r="E26" s="21">
        <f>DATE($C$3-3,1,1)</f>
        <v>43466</v>
      </c>
      <c r="F26" s="19">
        <v>3</v>
      </c>
    </row>
    <row r="27" ht="16.5">
      <c r="B27" s="19" t="s">
        <v>48</v>
      </c>
      <c r="C27" s="16">
        <v>6000</v>
      </c>
      <c r="D27" s="16">
        <f t="shared" si="0"/>
        <v>4500</v>
      </c>
      <c r="E27" s="21">
        <f>DATE($C$3-2,1,1)</f>
        <v>43831</v>
      </c>
      <c r="F27" s="19">
        <v>3</v>
      </c>
    </row>
    <row r="28" ht="16.5">
      <c r="B28" s="19" t="s">
        <v>49</v>
      </c>
      <c r="C28" s="16">
        <v>4800</v>
      </c>
      <c r="D28" s="16">
        <f t="shared" si="0"/>
        <v>3600</v>
      </c>
      <c r="E28" s="21">
        <f>DATE($C$3-6,1,1)</f>
        <v>42370</v>
      </c>
      <c r="F28" s="19">
        <v>3</v>
      </c>
    </row>
    <row r="29" ht="16.5">
      <c r="B29" s="19" t="s">
        <v>50</v>
      </c>
      <c r="C29" s="16">
        <v>2000</v>
      </c>
      <c r="D29" s="16">
        <f t="shared" si="0"/>
        <v>1500</v>
      </c>
      <c r="E29" s="21">
        <f>DATE($C$3-2,1,1)</f>
        <v>43831</v>
      </c>
      <c r="F29" s="19">
        <v>3</v>
      </c>
    </row>
    <row r="30" ht="16.5">
      <c r="B30" s="19" t="s">
        <v>51</v>
      </c>
      <c r="C30" s="16">
        <v>3200</v>
      </c>
      <c r="D30" s="16">
        <f t="shared" si="0"/>
        <v>2400</v>
      </c>
      <c r="E30" s="21">
        <f>DATE($C$3-1,1,1)</f>
        <v>44197</v>
      </c>
      <c r="F30" s="19">
        <v>3</v>
      </c>
    </row>
    <row r="31" ht="16.5">
      <c r="B31" s="19" t="s">
        <v>52</v>
      </c>
      <c r="C31" s="16">
        <v>1200</v>
      </c>
      <c r="D31" s="16">
        <f t="shared" si="0"/>
        <v>900</v>
      </c>
      <c r="E31" s="21">
        <f>DATE($C$3,1,1)</f>
        <v>44562</v>
      </c>
      <c r="F31" s="19">
        <v>3</v>
      </c>
    </row>
    <row r="33" ht="16.5">
      <c r="B33" s="2" t="s">
        <v>53</v>
      </c>
    </row>
    <row r="34" ht="8.25" customHeight="1"/>
    <row r="35" ht="16.5">
      <c r="B35" s="15" t="s">
        <v>34</v>
      </c>
      <c r="C35" s="15" t="s">
        <v>35</v>
      </c>
      <c r="D35" s="19" t="s">
        <v>36</v>
      </c>
      <c r="E35" s="19" t="s">
        <v>37</v>
      </c>
      <c r="F35" s="15" t="s">
        <v>38</v>
      </c>
    </row>
    <row r="36" ht="16.5">
      <c r="B36" s="15" t="s">
        <v>54</v>
      </c>
      <c r="C36" s="16">
        <v>10000</v>
      </c>
      <c r="D36" s="16">
        <f t="shared" ref="D36:D40" si="1">+C36*75%</f>
        <v>7500</v>
      </c>
      <c r="E36" s="21">
        <f>DATE($C$3-3,1,1)</f>
        <v>43466</v>
      </c>
      <c r="F36" s="19">
        <v>3</v>
      </c>
    </row>
    <row r="37" ht="16.5">
      <c r="B37" s="15" t="s">
        <v>55</v>
      </c>
      <c r="C37" s="16">
        <v>15000</v>
      </c>
      <c r="D37" s="16">
        <f t="shared" si="1"/>
        <v>11250</v>
      </c>
      <c r="E37" s="21">
        <f>DATE($C$3-2,1,1)</f>
        <v>43831</v>
      </c>
      <c r="F37" s="19">
        <v>3</v>
      </c>
    </row>
    <row r="38" ht="16.5">
      <c r="B38" s="15" t="s">
        <v>56</v>
      </c>
      <c r="C38" s="16">
        <v>5000</v>
      </c>
      <c r="D38" s="16">
        <f t="shared" si="1"/>
        <v>3750</v>
      </c>
      <c r="E38" s="21">
        <f>DATE($C$3-6,1,1)</f>
        <v>42370</v>
      </c>
      <c r="F38" s="19">
        <v>3</v>
      </c>
    </row>
    <row r="39" ht="16.5">
      <c r="B39" s="15" t="s">
        <v>57</v>
      </c>
      <c r="C39" s="16">
        <v>10000</v>
      </c>
      <c r="D39" s="16">
        <f t="shared" si="1"/>
        <v>7500</v>
      </c>
      <c r="E39" s="21">
        <f>DATE($C$3-2,1,1)</f>
        <v>43831</v>
      </c>
      <c r="F39" s="19">
        <v>3</v>
      </c>
    </row>
    <row r="40" ht="16.5">
      <c r="B40" s="15" t="s">
        <v>58</v>
      </c>
      <c r="C40" s="16">
        <v>50000</v>
      </c>
      <c r="D40" s="16">
        <f t="shared" si="1"/>
        <v>37500</v>
      </c>
      <c r="E40" s="21">
        <f>DATE($C$3,1,1)</f>
        <v>44562</v>
      </c>
      <c r="F40" s="19">
        <v>3</v>
      </c>
    </row>
    <row r="42" ht="16.5">
      <c r="B42" s="2" t="s">
        <v>59</v>
      </c>
      <c r="D42" s="18">
        <v>0.029999999999999999</v>
      </c>
      <c r="E42" s="22" t="s">
        <v>60</v>
      </c>
    </row>
    <row r="43">
      <c r="D43" s="18"/>
      <c r="E43" s="22"/>
    </row>
    <row r="44" ht="16.5">
      <c r="D44" s="10" t="s">
        <v>61</v>
      </c>
    </row>
    <row r="45" ht="16.5">
      <c r="B45" s="10"/>
      <c r="C45" s="19">
        <f>+E3</f>
        <v>2021</v>
      </c>
      <c r="D45" s="19">
        <f>+C3</f>
        <v>2022</v>
      </c>
    </row>
    <row r="46" ht="16.5">
      <c r="B46" s="10" t="s">
        <v>62</v>
      </c>
      <c r="C46" s="16">
        <v>150000</v>
      </c>
      <c r="D46" s="16">
        <v>160000</v>
      </c>
    </row>
    <row r="47" ht="7.5" customHeight="1">
      <c r="C47" s="23"/>
      <c r="D47" s="23"/>
    </row>
    <row r="48" ht="16.5">
      <c r="B48" s="2" t="s">
        <v>63</v>
      </c>
      <c r="C48" s="23"/>
      <c r="D48" s="23"/>
    </row>
    <row r="49">
      <c r="C49" s="23"/>
      <c r="D49" s="23"/>
    </row>
    <row r="50" ht="16.5">
      <c r="C50" s="24">
        <f>+C45</f>
        <v>2021</v>
      </c>
      <c r="D50" s="24">
        <f>+D45</f>
        <v>2022</v>
      </c>
    </row>
    <row r="51" ht="16.5">
      <c r="B51" s="2" t="s">
        <v>64</v>
      </c>
      <c r="C51" s="14">
        <v>120</v>
      </c>
      <c r="D51" s="14">
        <v>125</v>
      </c>
    </row>
    <row r="52" ht="16.5">
      <c r="B52" s="2" t="s">
        <v>65</v>
      </c>
      <c r="C52" s="16">
        <v>4000000</v>
      </c>
      <c r="D52" s="16">
        <v>4200000</v>
      </c>
      <c r="E52" s="23"/>
      <c r="F52" s="2"/>
    </row>
    <row r="53">
      <c r="E53" s="2"/>
      <c r="F53" s="2"/>
    </row>
    <row r="54" ht="16.5">
      <c r="B54" s="2" t="s">
        <v>66</v>
      </c>
      <c r="D54" s="25">
        <v>0.050000000000000003</v>
      </c>
      <c r="E54" s="2" t="s">
        <v>67</v>
      </c>
    </row>
    <row r="55" ht="10.5" customHeight="1">
      <c r="D55" s="10"/>
    </row>
    <row r="56" ht="16.5">
      <c r="B56" s="2" t="s">
        <v>68</v>
      </c>
      <c r="D56" s="25">
        <v>0.10000000000000001</v>
      </c>
      <c r="E56" s="2" t="str">
        <f>+E54</f>
        <v xml:space="preserve">du prix d'achat catalogue</v>
      </c>
    </row>
    <row r="58" ht="16.5">
      <c r="B58" s="2" t="s">
        <v>69</v>
      </c>
      <c r="D58" s="26">
        <f>+C50</f>
        <v>2021</v>
      </c>
    </row>
    <row r="59" ht="12.75" customHeight="1"/>
    <row r="60" ht="18.75" customHeight="1">
      <c r="B60" s="27" t="s">
        <v>70</v>
      </c>
      <c r="C60" s="28"/>
      <c r="D60" s="29">
        <v>352000</v>
      </c>
    </row>
    <row r="61" ht="18.75" customHeight="1">
      <c r="B61" s="27" t="s">
        <v>71</v>
      </c>
      <c r="C61" s="28"/>
      <c r="D61" s="29">
        <v>19000</v>
      </c>
    </row>
    <row r="62" ht="18.75" customHeight="1">
      <c r="B62" s="27" t="s">
        <v>72</v>
      </c>
      <c r="C62" s="28"/>
      <c r="D62" s="29">
        <v>4500</v>
      </c>
    </row>
    <row r="63" ht="18.75" customHeight="1">
      <c r="B63" s="27" t="s">
        <v>73</v>
      </c>
      <c r="C63" s="28"/>
      <c r="D63" s="29">
        <v>1500</v>
      </c>
    </row>
    <row r="64" ht="18.75" customHeight="1">
      <c r="B64" s="27" t="s">
        <v>74</v>
      </c>
      <c r="C64" s="28"/>
      <c r="D64" s="29">
        <v>9200</v>
      </c>
    </row>
    <row r="65" ht="18.75" customHeight="1">
      <c r="B65" s="27" t="s">
        <v>75</v>
      </c>
      <c r="C65" s="28"/>
      <c r="D65" s="30">
        <v>5500</v>
      </c>
    </row>
    <row r="66" ht="18.75" customHeight="1">
      <c r="B66" s="31" t="s">
        <v>76</v>
      </c>
      <c r="C66" s="32"/>
      <c r="D66" s="33">
        <v>6000</v>
      </c>
    </row>
    <row r="67" ht="18.75" customHeight="1">
      <c r="B67" s="31" t="s">
        <v>77</v>
      </c>
      <c r="C67" s="32"/>
      <c r="D67" s="33">
        <v>2000</v>
      </c>
    </row>
    <row r="68" ht="18.75" customHeight="1">
      <c r="B68" s="31" t="s">
        <v>78</v>
      </c>
      <c r="C68" s="32"/>
      <c r="D68" s="33">
        <v>2500</v>
      </c>
    </row>
    <row r="69" ht="7.5" customHeight="1"/>
  </sheetData>
  <mergeCells count="10">
    <mergeCell ref="B5:C5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</mergeCells>
  <printOptions headings="0" gridLines="0"/>
  <pageMargins left="0.31496062992125984" right="0.31496062992125984" top="0.47244094488188981" bottom="0.27559055118110237" header="0.31496062992125984" footer="0.15748031496062992"/>
  <pageSetup blackAndWhite="0" cellComments="none" copies="1" draft="0" errors="displayed" firstPageNumber="-1" fitToHeight="1" fitToWidth="1" horizontalDpi="600" orientation="portrait" pageOrder="downThenOver" paperSize="9" scale="69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V15" activeCellId="0" sqref="V15"/>
    </sheetView>
  </sheetViews>
  <sheetFormatPr baseColWidth="10" defaultRowHeight="14.25"/>
  <cols>
    <col customWidth="1" min="3" max="3" width="13.140625"/>
    <col customWidth="1" min="4" max="4" width="13.7109375"/>
    <col customWidth="1" min="6" max="6" width="12.42578125"/>
    <col customWidth="1" min="7" max="7" width="13"/>
    <col customWidth="1" min="8" max="8" width="19.140625"/>
    <col customWidth="1" min="9" max="9" width="15.42578125"/>
  </cols>
  <sheetData>
    <row r="2">
      <c r="B2" t="s">
        <v>79</v>
      </c>
      <c r="C2" s="34">
        <v>44562</v>
      </c>
    </row>
    <row r="3" ht="9" customHeight="1"/>
    <row r="4">
      <c r="B4" s="35" t="str">
        <f>+Données!B18</f>
        <v>Description</v>
      </c>
      <c r="C4" s="35" t="str">
        <f>+Données!C18</f>
        <v xml:space="preserve">Prix catalogue</v>
      </c>
      <c r="D4" s="35" t="str">
        <f>+Données!D18</f>
        <v xml:space="preserve">Prix d'achat</v>
      </c>
      <c r="E4" s="35" t="str">
        <f>+Données!E18</f>
        <v xml:space="preserve">Date d'achat</v>
      </c>
      <c r="F4" s="35" t="str">
        <f>+Données!F18</f>
        <v xml:space="preserve">Durée amort</v>
      </c>
      <c r="G4" s="35" t="s">
        <v>80</v>
      </c>
      <c r="H4" s="35" t="s">
        <v>81</v>
      </c>
      <c r="I4" s="35" t="s">
        <v>82</v>
      </c>
    </row>
    <row r="5">
      <c r="B5" s="35" t="str">
        <f>+Données!B20</f>
        <v xml:space="preserve">Ordi 1</v>
      </c>
      <c r="C5" s="36">
        <v>2000</v>
      </c>
      <c r="D5" s="36">
        <v>1500</v>
      </c>
      <c r="E5" s="37">
        <v>43101</v>
      </c>
      <c r="F5" s="38">
        <v>3</v>
      </c>
      <c r="G5" s="38">
        <f>(D5/F5)</f>
        <v>500</v>
      </c>
      <c r="H5" s="39">
        <f>2022-YEAR(E5)</f>
        <v>4</v>
      </c>
      <c r="I5" s="36">
        <f>IF(H5&gt;=F5,0,G5)</f>
        <v>0</v>
      </c>
    </row>
    <row r="6">
      <c r="B6" s="35" t="str">
        <f>+Données!B21</f>
        <v xml:space="preserve">Ordi 2</v>
      </c>
      <c r="C6" s="36">
        <v>1600</v>
      </c>
      <c r="D6" s="36">
        <v>1200</v>
      </c>
      <c r="E6" s="37">
        <v>44197</v>
      </c>
      <c r="F6" s="38">
        <v>3</v>
      </c>
      <c r="G6" s="38">
        <f>(D6/F6)</f>
        <v>400</v>
      </c>
      <c r="H6" s="39">
        <f>2022-YEAR(E6)</f>
        <v>1</v>
      </c>
      <c r="I6" s="36">
        <f>IF(H6&gt;=F6,0,G6)</f>
        <v>400</v>
      </c>
    </row>
    <row r="7">
      <c r="B7" s="35" t="str">
        <f>+Données!B22</f>
        <v xml:space="preserve">Ordi 3</v>
      </c>
      <c r="C7" s="36">
        <v>1000</v>
      </c>
      <c r="D7" s="36">
        <v>750</v>
      </c>
      <c r="E7" s="37">
        <v>43466</v>
      </c>
      <c r="F7" s="38">
        <v>3</v>
      </c>
      <c r="G7" s="38">
        <f>(D7/F7)</f>
        <v>250</v>
      </c>
      <c r="H7" s="39">
        <f>2022-YEAR(E7)</f>
        <v>3</v>
      </c>
      <c r="I7" s="36">
        <f>IF(H7&gt;=F7,0,G7)</f>
        <v>0</v>
      </c>
    </row>
    <row r="8">
      <c r="B8" s="35" t="str">
        <f>+Données!B23</f>
        <v xml:space="preserve">Ordi 4</v>
      </c>
      <c r="C8" s="36">
        <v>2000</v>
      </c>
      <c r="D8" s="36">
        <v>1500</v>
      </c>
      <c r="E8" s="37">
        <v>43831</v>
      </c>
      <c r="F8" s="38">
        <v>3</v>
      </c>
      <c r="G8" s="38">
        <f>(D8/F8)</f>
        <v>500</v>
      </c>
      <c r="H8" s="39">
        <f>2022-YEAR(E8)</f>
        <v>2</v>
      </c>
      <c r="I8" s="36">
        <f>IF(H8&gt;=F8,0,G8)</f>
        <v>500</v>
      </c>
    </row>
    <row r="9">
      <c r="B9" s="35" t="str">
        <f>+Données!B24</f>
        <v xml:space="preserve">Ordi 5</v>
      </c>
      <c r="C9" s="36">
        <v>2400</v>
      </c>
      <c r="D9" s="36">
        <v>1800</v>
      </c>
      <c r="E9" s="37">
        <v>43466</v>
      </c>
      <c r="F9" s="38">
        <v>3</v>
      </c>
      <c r="G9" s="38">
        <f>(D9/F9)</f>
        <v>600</v>
      </c>
      <c r="H9" s="39">
        <f>2022-YEAR(E9)</f>
        <v>3</v>
      </c>
      <c r="I9" s="36">
        <f>IF(H9&gt;=F9,0,G9)</f>
        <v>0</v>
      </c>
    </row>
    <row r="10">
      <c r="B10" s="35" t="str">
        <f>+Données!B25</f>
        <v xml:space="preserve">Ordi 6</v>
      </c>
      <c r="C10" s="36">
        <v>1200</v>
      </c>
      <c r="D10" s="36">
        <v>900</v>
      </c>
      <c r="E10" s="37">
        <v>43831</v>
      </c>
      <c r="F10" s="38">
        <v>3</v>
      </c>
      <c r="G10" s="38">
        <f>(D10/F10)</f>
        <v>300</v>
      </c>
      <c r="H10" s="39">
        <f>2022-YEAR(E10)</f>
        <v>2</v>
      </c>
      <c r="I10" s="36">
        <f>IF(H10&gt;=F10,0,G10)</f>
        <v>300</v>
      </c>
    </row>
    <row r="11">
      <c r="B11" s="35" t="str">
        <f>+Données!B26</f>
        <v xml:space="preserve">Ordi 7</v>
      </c>
      <c r="C11" s="36">
        <v>1600</v>
      </c>
      <c r="D11" s="36">
        <v>1200</v>
      </c>
      <c r="E11" s="37">
        <v>43466</v>
      </c>
      <c r="F11" s="38">
        <v>3</v>
      </c>
      <c r="G11" s="38">
        <f>(D11/F11)</f>
        <v>400</v>
      </c>
      <c r="H11" s="39">
        <f>2022-YEAR(E11)</f>
        <v>3</v>
      </c>
      <c r="I11" s="36">
        <f>IF(H11&gt;=F11,0,G11)</f>
        <v>0</v>
      </c>
    </row>
    <row r="12">
      <c r="B12" s="35" t="str">
        <f>+Données!B27</f>
        <v xml:space="preserve">Serveur 1</v>
      </c>
      <c r="C12" s="36">
        <v>6000</v>
      </c>
      <c r="D12" s="36">
        <v>4500</v>
      </c>
      <c r="E12" s="37">
        <v>43831</v>
      </c>
      <c r="F12" s="38">
        <v>3</v>
      </c>
      <c r="G12" s="38">
        <f>(D12/F12)</f>
        <v>1500</v>
      </c>
      <c r="H12" s="39">
        <f>2022-YEAR(E12)</f>
        <v>2</v>
      </c>
      <c r="I12" s="36">
        <f>IF(H12&gt;=F12,0,G12)</f>
        <v>1500</v>
      </c>
    </row>
    <row r="13">
      <c r="B13" s="35" t="str">
        <f>+Données!B28</f>
        <v xml:space="preserve">Serveur 2</v>
      </c>
      <c r="C13" s="36">
        <v>4800</v>
      </c>
      <c r="D13" s="36">
        <v>3600</v>
      </c>
      <c r="E13" s="37">
        <v>42370</v>
      </c>
      <c r="F13" s="38">
        <v>3</v>
      </c>
      <c r="G13" s="38">
        <f>(D13/F13)</f>
        <v>1200</v>
      </c>
      <c r="H13" s="39">
        <f>2022-YEAR(E13)</f>
        <v>6</v>
      </c>
      <c r="I13" s="36">
        <f>IF(H13&gt;=F13,0,G13)</f>
        <v>0</v>
      </c>
    </row>
    <row r="14">
      <c r="B14" s="35" t="str">
        <f>+Données!B29</f>
        <v xml:space="preserve">Imprimante 1</v>
      </c>
      <c r="C14" s="36">
        <v>2000</v>
      </c>
      <c r="D14" s="36">
        <v>1500</v>
      </c>
      <c r="E14" s="37">
        <v>43831</v>
      </c>
      <c r="F14" s="38">
        <v>3</v>
      </c>
      <c r="G14" s="38">
        <f>(D14/F14)</f>
        <v>500</v>
      </c>
      <c r="H14" s="39">
        <f>2022-YEAR(E14)</f>
        <v>2</v>
      </c>
      <c r="I14" s="36">
        <f>IF(H14&gt;=F14,0,G14)</f>
        <v>500</v>
      </c>
    </row>
    <row r="15">
      <c r="B15" s="35" t="str">
        <f>+Données!B30</f>
        <v xml:space="preserve">Imprimante 2</v>
      </c>
      <c r="C15" s="36">
        <v>3200</v>
      </c>
      <c r="D15" s="36">
        <v>2400</v>
      </c>
      <c r="E15" s="37">
        <v>44197</v>
      </c>
      <c r="F15" s="38">
        <v>3</v>
      </c>
      <c r="G15" s="38">
        <f>(D15/F15)</f>
        <v>800</v>
      </c>
      <c r="H15" s="39">
        <f>2022-YEAR(E15)</f>
        <v>1</v>
      </c>
      <c r="I15" s="36">
        <f>IF(H15&gt;=F15,0,G15)</f>
        <v>800</v>
      </c>
    </row>
    <row r="16">
      <c r="B16" s="35" t="str">
        <f>+Données!B31</f>
        <v xml:space="preserve">Imprimante 3</v>
      </c>
      <c r="C16" s="36">
        <v>1200</v>
      </c>
      <c r="D16" s="36">
        <v>900</v>
      </c>
      <c r="E16" s="40">
        <v>44562</v>
      </c>
      <c r="F16" s="38">
        <v>3</v>
      </c>
      <c r="G16" s="38">
        <f>(D16/F16)</f>
        <v>300</v>
      </c>
      <c r="H16" s="39">
        <f>2022-YEAR(E16)</f>
        <v>0</v>
      </c>
      <c r="I16" s="36">
        <f>IF(H16&gt;=F16,0,G16)</f>
        <v>300</v>
      </c>
    </row>
    <row r="17" ht="16.5">
      <c r="B17" s="41" t="s">
        <v>30</v>
      </c>
      <c r="C17" s="42">
        <f>SUM(C5:C16)</f>
        <v>29000</v>
      </c>
      <c r="D17" s="42">
        <f>SUM(D5:D16)</f>
        <v>21750</v>
      </c>
      <c r="E17" s="41"/>
      <c r="F17" s="41"/>
      <c r="G17" s="41">
        <f>SUM(G5:G16)</f>
        <v>7250</v>
      </c>
      <c r="H17" s="41"/>
      <c r="I17" s="42">
        <f>SUM(I5:I16)</f>
        <v>4300</v>
      </c>
    </row>
    <row r="19">
      <c r="B19" t="s">
        <v>79</v>
      </c>
      <c r="C19" s="34">
        <v>44562</v>
      </c>
    </row>
    <row r="20" ht="7.5" customHeight="1"/>
    <row r="21">
      <c r="B21" s="35" t="str">
        <f>+B4</f>
        <v>Description</v>
      </c>
      <c r="C21" s="35" t="str">
        <f t="shared" ref="C21:F21" si="2">+C4</f>
        <v xml:space="preserve">Prix catalogue</v>
      </c>
      <c r="D21" s="35" t="str">
        <f t="shared" si="2"/>
        <v xml:space="preserve">Prix d'achat</v>
      </c>
      <c r="E21" s="35" t="str">
        <f t="shared" si="2"/>
        <v xml:space="preserve">Date d'achat</v>
      </c>
      <c r="F21" s="35" t="str">
        <f t="shared" si="2"/>
        <v xml:space="preserve">Durée amort</v>
      </c>
      <c r="G21" s="35" t="s">
        <v>80</v>
      </c>
      <c r="H21" s="35" t="s">
        <v>81</v>
      </c>
      <c r="I21" s="35" t="s">
        <v>82</v>
      </c>
    </row>
    <row r="22">
      <c r="B22" s="35" t="str">
        <f>+Données!B36</f>
        <v xml:space="preserve">Logiciel 1</v>
      </c>
      <c r="C22" s="16">
        <v>10000</v>
      </c>
      <c r="D22" s="16">
        <f>+C22*75%</f>
        <v>7500</v>
      </c>
      <c r="E22" s="37">
        <v>43466</v>
      </c>
      <c r="F22" s="35">
        <v>3</v>
      </c>
      <c r="G22" s="36">
        <f>D22/F22</f>
        <v>2500</v>
      </c>
      <c r="H22" s="43">
        <f>2022-YEAR(E22)</f>
        <v>3</v>
      </c>
      <c r="I22" s="44">
        <f>IF(H22&gt;=F22,0,G22)</f>
        <v>0</v>
      </c>
    </row>
    <row r="23">
      <c r="B23" s="35" t="str">
        <f>+Données!B37</f>
        <v xml:space="preserve">Logiciel 2</v>
      </c>
      <c r="C23" s="16">
        <v>15000</v>
      </c>
      <c r="D23" s="16">
        <f>+C23*75%</f>
        <v>11250</v>
      </c>
      <c r="E23" s="37">
        <v>43831</v>
      </c>
      <c r="F23" s="35">
        <v>3</v>
      </c>
      <c r="G23" s="36">
        <f>D23/F23</f>
        <v>3750</v>
      </c>
      <c r="H23" s="43">
        <f>2022-YEAR(E23)</f>
        <v>2</v>
      </c>
      <c r="I23" s="44">
        <f>IF(H23&gt;=F23,0,G23)</f>
        <v>3750</v>
      </c>
    </row>
    <row r="24">
      <c r="B24" s="35" t="str">
        <f>+Données!B38</f>
        <v xml:space="preserve">Logiciel 3</v>
      </c>
      <c r="C24" s="16">
        <v>5000</v>
      </c>
      <c r="D24" s="16">
        <f>+C24*75%</f>
        <v>3750</v>
      </c>
      <c r="E24" s="37">
        <v>42370</v>
      </c>
      <c r="F24" s="35">
        <v>3</v>
      </c>
      <c r="G24" s="36">
        <f>D24/F24</f>
        <v>1250</v>
      </c>
      <c r="H24" s="43">
        <f>2022-YEAR(E24)</f>
        <v>6</v>
      </c>
      <c r="I24" s="44">
        <f>IF(H24&gt;=F24,0,G24)</f>
        <v>0</v>
      </c>
    </row>
    <row r="25">
      <c r="B25" s="35" t="str">
        <f>+Données!B39</f>
        <v xml:space="preserve">Logiciel 4</v>
      </c>
      <c r="C25" s="16">
        <v>10000</v>
      </c>
      <c r="D25" s="16">
        <f>+C25*75%</f>
        <v>7500</v>
      </c>
      <c r="E25" s="37">
        <v>43831</v>
      </c>
      <c r="F25" s="35">
        <v>3</v>
      </c>
      <c r="G25" s="36">
        <f>D25/F25</f>
        <v>2500</v>
      </c>
      <c r="H25" s="43">
        <f>2022-YEAR(E25)</f>
        <v>2</v>
      </c>
      <c r="I25" s="44">
        <f>IF(H25&gt;=F25,0,G25)</f>
        <v>2500</v>
      </c>
    </row>
    <row r="26">
      <c r="B26" s="35" t="str">
        <f>+Données!B40</f>
        <v xml:space="preserve">Logiciel 5</v>
      </c>
      <c r="C26" s="16">
        <v>50000</v>
      </c>
      <c r="D26" s="16">
        <f>+C26*75%</f>
        <v>37500</v>
      </c>
      <c r="E26" s="37">
        <v>44562</v>
      </c>
      <c r="F26" s="35">
        <v>3</v>
      </c>
      <c r="G26" s="36">
        <f>D26/F26</f>
        <v>12500</v>
      </c>
      <c r="H26" s="43">
        <f>2022-YEAR(E26)</f>
        <v>0</v>
      </c>
      <c r="I26" s="44">
        <f>IF(H26&gt;=F26,0,G26)</f>
        <v>12500</v>
      </c>
    </row>
    <row r="27" ht="16.5">
      <c r="B27" s="41" t="s">
        <v>30</v>
      </c>
      <c r="C27" s="42">
        <f>SUM(C22:C26)</f>
        <v>90000</v>
      </c>
      <c r="D27" s="42">
        <f>SUM(D22:D26)</f>
        <v>67500</v>
      </c>
      <c r="E27" s="41"/>
      <c r="F27" s="41"/>
      <c r="G27" s="45">
        <f>SUM(G22:G26)</f>
        <v>22500</v>
      </c>
      <c r="H27" s="41"/>
      <c r="I27" s="42">
        <f>SUM(I22:I26)</f>
        <v>18750</v>
      </c>
    </row>
    <row r="29">
      <c r="B29" t="s">
        <v>83</v>
      </c>
    </row>
    <row r="30">
      <c r="D30" s="35" t="s">
        <v>35</v>
      </c>
      <c r="E30" s="46">
        <f>C17</f>
        <v>29000</v>
      </c>
      <c r="F30" s="47" t="s">
        <v>84</v>
      </c>
      <c r="G30" s="48">
        <v>0.050000000000000003</v>
      </c>
      <c r="H30" s="35" t="s">
        <v>85</v>
      </c>
      <c r="I30" s="46">
        <f>E30*G30</f>
        <v>1450</v>
      </c>
    </row>
    <row r="31">
      <c r="H31" s="35" t="s">
        <v>86</v>
      </c>
      <c r="I31" s="49">
        <f>I30/12</f>
        <v>120.83333333333333</v>
      </c>
    </row>
    <row r="33">
      <c r="B33" t="s">
        <v>87</v>
      </c>
    </row>
    <row r="34">
      <c r="D34" s="35" t="s">
        <v>35</v>
      </c>
      <c r="E34" s="46">
        <f>C27</f>
        <v>90000</v>
      </c>
      <c r="F34" s="47" t="s">
        <v>84</v>
      </c>
      <c r="G34" s="48">
        <v>0.10000000000000001</v>
      </c>
      <c r="H34" s="35" t="s">
        <v>85</v>
      </c>
      <c r="I34" s="46">
        <f>E34*G34</f>
        <v>9000</v>
      </c>
    </row>
    <row r="35">
      <c r="H35" s="35" t="s">
        <v>86</v>
      </c>
      <c r="I35" s="49">
        <f>I34/12</f>
        <v>750</v>
      </c>
    </row>
  </sheetData>
  <printOptions headings="0" gridLines="0"/>
  <pageMargins left="0.55118110236220474" right="0.70866141732283472" top="0.51181102362204722" bottom="0.43307086614173229" header="0.31496062992125984" footer="0.31496062992125984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11" activeCellId="0" sqref="F11"/>
    </sheetView>
  </sheetViews>
  <sheetFormatPr baseColWidth="10" defaultColWidth="11.42578125" defaultRowHeight="14.25"/>
  <cols>
    <col customWidth="1" min="1" max="1" style="1" width="4.28515625"/>
    <col customWidth="1" min="2" max="2" style="1" width="36.42578125"/>
    <col customWidth="1" min="3" max="3" style="1" width="13.85546875"/>
    <col customWidth="1" min="4" max="4" style="1" width="16.28515625"/>
    <col customWidth="1" min="5" max="5" style="1" width="14.140625"/>
    <col min="6" max="16384" style="1" width="11.42578125"/>
  </cols>
  <sheetData>
    <row r="2" ht="24">
      <c r="B2" s="8"/>
      <c r="C2" s="50" t="s">
        <v>88</v>
      </c>
      <c r="D2" s="51">
        <f>+D5</f>
        <v>2022</v>
      </c>
    </row>
    <row r="4">
      <c r="E4" s="1"/>
      <c r="F4" s="1"/>
      <c r="G4" s="1"/>
      <c r="H4" s="1"/>
      <c r="I4" s="1"/>
    </row>
    <row r="5" s="52" customFormat="1" ht="18.75" customHeight="1">
      <c r="B5" s="53"/>
      <c r="C5" s="14">
        <v>2021</v>
      </c>
      <c r="D5" s="14">
        <v>2022</v>
      </c>
      <c r="E5" s="54"/>
      <c r="F5" s="52"/>
      <c r="G5" s="52"/>
      <c r="H5" s="52"/>
      <c r="I5" s="52"/>
    </row>
    <row r="6" s="52" customFormat="1" ht="18.75" customHeight="1">
      <c r="B6" s="53" t="s">
        <v>70</v>
      </c>
      <c r="C6" s="29">
        <v>352000</v>
      </c>
      <c r="D6" s="29">
        <f>Données!E12*1.45*12</f>
        <v>360180</v>
      </c>
      <c r="E6" s="55"/>
      <c r="F6" s="56"/>
      <c r="G6" s="57"/>
      <c r="H6" s="57"/>
      <c r="I6" s="52"/>
    </row>
    <row r="7" s="52" customFormat="1" ht="18.75" customHeight="1">
      <c r="B7" s="53" t="s">
        <v>71</v>
      </c>
      <c r="C7" s="29">
        <v>19000</v>
      </c>
      <c r="D7" s="29">
        <f>'Amortissements et maintenance'!I27</f>
        <v>18750</v>
      </c>
      <c r="E7" s="55"/>
      <c r="F7" s="57"/>
      <c r="G7" s="57"/>
      <c r="H7" s="57"/>
      <c r="I7" s="52"/>
    </row>
    <row r="8" s="52" customFormat="1" ht="18.75" customHeight="1">
      <c r="B8" s="53" t="s">
        <v>72</v>
      </c>
      <c r="C8" s="29">
        <v>4500</v>
      </c>
      <c r="D8" s="29">
        <f>'Amortissements et maintenance'!I17</f>
        <v>4300</v>
      </c>
      <c r="E8" s="55"/>
      <c r="F8" s="57"/>
      <c r="G8" s="57"/>
      <c r="H8" s="57"/>
      <c r="I8" s="52"/>
    </row>
    <row r="9" s="52" customFormat="1" ht="18.75" customHeight="1">
      <c r="B9" s="53" t="s">
        <v>73</v>
      </c>
      <c r="C9" s="29">
        <v>1500</v>
      </c>
      <c r="D9" s="29">
        <f>'Amortissements et maintenance'!I30</f>
        <v>1450</v>
      </c>
      <c r="E9" s="55"/>
      <c r="F9" s="57"/>
      <c r="G9" s="57"/>
      <c r="H9" s="57"/>
      <c r="I9" s="52"/>
    </row>
    <row r="10" s="52" customFormat="1" ht="18.75" customHeight="1">
      <c r="B10" s="53" t="s">
        <v>74</v>
      </c>
      <c r="C10" s="29">
        <v>9200</v>
      </c>
      <c r="D10" s="29">
        <f>'Amortissements et maintenance'!I34</f>
        <v>9000</v>
      </c>
      <c r="E10" s="55"/>
      <c r="F10" s="57"/>
      <c r="G10" s="57"/>
      <c r="H10" s="57"/>
      <c r="I10" s="52"/>
    </row>
    <row r="11" s="52" customFormat="1" ht="18.75" customHeight="1">
      <c r="B11" s="53" t="s">
        <v>75</v>
      </c>
      <c r="C11" s="30">
        <v>5500</v>
      </c>
      <c r="D11" s="29">
        <f>C11*1.05</f>
        <v>5775</v>
      </c>
      <c r="E11" s="55"/>
      <c r="F11" s="57"/>
      <c r="G11" s="57"/>
      <c r="H11" s="57"/>
      <c r="I11" s="52"/>
    </row>
    <row r="12" s="52" customFormat="1" ht="18.75" customHeight="1">
      <c r="B12" s="53" t="s">
        <v>76</v>
      </c>
      <c r="C12" s="33">
        <v>6000</v>
      </c>
      <c r="D12" s="29">
        <f>D6*0.03</f>
        <v>10805.4</v>
      </c>
      <c r="E12" s="55"/>
      <c r="F12" s="57"/>
      <c r="G12" s="57"/>
      <c r="H12" s="57"/>
      <c r="I12" s="52"/>
    </row>
    <row r="13" s="52" customFormat="1" ht="18.75" customHeight="1">
      <c r="B13" s="53" t="s">
        <v>77</v>
      </c>
      <c r="C13" s="33">
        <v>2000</v>
      </c>
      <c r="D13" s="29">
        <f>C13*1.05</f>
        <v>2100</v>
      </c>
      <c r="E13" s="55"/>
      <c r="F13" s="57"/>
      <c r="G13" s="57"/>
      <c r="H13" s="57"/>
      <c r="I13" s="52"/>
    </row>
    <row r="14" s="52" customFormat="1" ht="18.75" customHeight="1">
      <c r="B14" s="53" t="s">
        <v>78</v>
      </c>
      <c r="C14" s="33">
        <v>2500</v>
      </c>
      <c r="D14" s="29">
        <f>C14*1.05</f>
        <v>2625</v>
      </c>
      <c r="E14" s="55"/>
      <c r="F14" s="57"/>
      <c r="G14" s="57"/>
      <c r="H14" s="57"/>
      <c r="I14" s="52"/>
    </row>
    <row r="15" s="52" customFormat="1" ht="18.75" customHeight="1">
      <c r="B15" s="53" t="s">
        <v>89</v>
      </c>
      <c r="C15" s="16">
        <f>150000/120*6</f>
        <v>7500</v>
      </c>
      <c r="D15" s="16">
        <f>160000/125*6</f>
        <v>7680</v>
      </c>
      <c r="E15" s="55"/>
      <c r="F15" s="57"/>
      <c r="G15" s="57"/>
      <c r="H15" s="57"/>
      <c r="I15" s="52"/>
    </row>
    <row r="16" s="52" customFormat="1" ht="10.5" customHeight="1">
      <c r="B16" s="53"/>
      <c r="C16" s="29"/>
      <c r="D16" s="29"/>
      <c r="E16" s="55"/>
      <c r="F16" s="57"/>
      <c r="G16" s="57"/>
      <c r="H16" s="57"/>
      <c r="I16" s="52"/>
    </row>
    <row r="17" s="52" customFormat="1" ht="18.75" customHeight="1">
      <c r="B17" s="53" t="s">
        <v>30</v>
      </c>
      <c r="C17" s="29">
        <f>SUM(C6:C15)</f>
        <v>409700</v>
      </c>
      <c r="D17" s="29">
        <f>SUM(D6:D15)</f>
        <v>422665.40000000002</v>
      </c>
      <c r="E17" s="55"/>
      <c r="F17" s="57"/>
      <c r="G17" s="57"/>
      <c r="H17" s="57"/>
      <c r="I17" s="52"/>
    </row>
    <row r="18" ht="16.5">
      <c r="B18" s="2"/>
      <c r="C18" s="58"/>
      <c r="D18" s="58"/>
      <c r="E18" s="58"/>
      <c r="F18" s="59"/>
      <c r="G18" s="59"/>
      <c r="H18" s="59"/>
      <c r="I18" s="1"/>
    </row>
    <row r="19" ht="16.5">
      <c r="B19" s="2"/>
      <c r="C19" s="58"/>
      <c r="D19" s="58"/>
      <c r="E19" s="58"/>
      <c r="F19" s="59"/>
      <c r="G19" s="59"/>
      <c r="H19" s="59"/>
      <c r="I19" s="1"/>
    </row>
    <row r="20" ht="16.5">
      <c r="B20" s="15" t="s">
        <v>65</v>
      </c>
      <c r="C20" s="16">
        <v>4000000</v>
      </c>
      <c r="D20" s="16">
        <v>4200000</v>
      </c>
      <c r="E20" s="58"/>
      <c r="F20" s="59"/>
      <c r="G20" s="59"/>
      <c r="H20" s="59"/>
      <c r="I20" s="1"/>
    </row>
    <row r="21" ht="16.5">
      <c r="B21" s="15" t="s">
        <v>90</v>
      </c>
      <c r="C21" s="60">
        <f>C17/C20</f>
        <v>0.102425</v>
      </c>
      <c r="D21" s="60">
        <f>D17/D20</f>
        <v>0.10063461904761906</v>
      </c>
      <c r="E21" s="61"/>
      <c r="F21" s="62"/>
      <c r="G21" s="62"/>
      <c r="H21" s="62"/>
      <c r="I21" s="1"/>
    </row>
    <row r="22" ht="16.5">
      <c r="B22" s="2"/>
      <c r="C22" s="2"/>
      <c r="D22" s="2"/>
      <c r="E22" s="2"/>
      <c r="F22" s="1"/>
      <c r="G22" s="1"/>
      <c r="H22" s="1"/>
      <c r="I22" s="1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revision>1</cp:revision>
  <dcterms:created xsi:type="dcterms:W3CDTF">2015-09-10T13:13:17Z</dcterms:created>
  <dcterms:modified xsi:type="dcterms:W3CDTF">2021-12-02T09:49:39Z</dcterms:modified>
</cp:coreProperties>
</file>