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116" windowHeight="9540" activeTab="5"/>
  </bookViews>
  <sheets>
    <sheet name="Inputs" sheetId="1" r:id="rId1"/>
    <sheet name="min rel. error of D" sheetId="2" r:id="rId2"/>
    <sheet name="CRLB for different t_exp" sheetId="3" r:id="rId3"/>
    <sheet name="N-10000" sheetId="4" r:id="rId4"/>
    <sheet name="N-10000_t_exp" sheetId="5" r:id="rId5"/>
    <sheet name="N-10000_f" sheetId="6" r:id="rId6"/>
  </sheets>
  <calcPr calcId="145621"/>
</workbook>
</file>

<file path=xl/calcChain.xml><?xml version="1.0" encoding="utf-8"?>
<calcChain xmlns="http://schemas.openxmlformats.org/spreadsheetml/2006/main">
  <c r="B1" i="3" l="1"/>
  <c r="H3" i="3"/>
  <c r="E9" i="3" s="1"/>
  <c r="R10" i="3"/>
  <c r="A10" i="3"/>
  <c r="H2" i="3"/>
  <c r="H5" i="3"/>
  <c r="H4" i="3"/>
  <c r="H1" i="3"/>
  <c r="B9" i="3" s="1"/>
  <c r="R11" i="3" l="1"/>
  <c r="B11" i="3"/>
  <c r="A11" i="3" s="1"/>
  <c r="E11" i="3" s="1"/>
  <c r="F11" i="3" s="1"/>
  <c r="C9" i="3"/>
  <c r="F9" i="3"/>
  <c r="G9" i="3" s="1"/>
  <c r="E10" i="3"/>
  <c r="F10" i="3" s="1"/>
  <c r="B49" i="2"/>
  <c r="B50" i="2" s="1"/>
  <c r="B51" i="2" s="1"/>
  <c r="B52" i="2" s="1"/>
  <c r="B53" i="2" s="1"/>
  <c r="B54" i="2" s="1"/>
  <c r="B55" i="2" s="1"/>
  <c r="B56" i="2" s="1"/>
  <c r="B57" i="2" s="1"/>
  <c r="B37" i="2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8" i="2"/>
  <c r="B9" i="2" s="1"/>
  <c r="B10" i="2" s="1"/>
  <c r="B11" i="2" s="1"/>
  <c r="B12" i="2" s="1"/>
  <c r="B13" i="2" s="1"/>
  <c r="B14" i="2" s="1"/>
  <c r="B15" i="2" s="1"/>
  <c r="E16" i="1"/>
  <c r="E11" i="1"/>
  <c r="E4" i="1"/>
  <c r="E5" i="1" s="1"/>
  <c r="B12" i="3" l="1"/>
  <c r="B13" i="3" s="1"/>
  <c r="R12" i="3"/>
  <c r="C11" i="3"/>
  <c r="D11" i="3" s="1"/>
  <c r="H9" i="3"/>
  <c r="I9" i="3" s="1"/>
  <c r="S9" i="3" s="1"/>
  <c r="D9" i="3"/>
  <c r="G10" i="3"/>
  <c r="C10" i="3"/>
  <c r="D10" i="3" s="1"/>
  <c r="G11" i="3"/>
  <c r="E18" i="1"/>
  <c r="E17" i="1"/>
  <c r="E21" i="1"/>
  <c r="E25" i="1"/>
  <c r="A12" i="3" l="1"/>
  <c r="E12" i="3" s="1"/>
  <c r="F12" i="3" s="1"/>
  <c r="G12" i="3" s="1"/>
  <c r="C12" i="3"/>
  <c r="D12" i="3" s="1"/>
  <c r="A13" i="3"/>
  <c r="E13" i="3" s="1"/>
  <c r="F13" i="3" s="1"/>
  <c r="G13" i="3" s="1"/>
  <c r="B14" i="3"/>
  <c r="C13" i="3"/>
  <c r="D13" i="3" s="1"/>
  <c r="R13" i="3"/>
  <c r="K9" i="3"/>
  <c r="O9" i="3"/>
  <c r="Q9" i="3"/>
  <c r="M9" i="3"/>
  <c r="J12" i="3"/>
  <c r="N10" i="3"/>
  <c r="J10" i="3"/>
  <c r="P10" i="3"/>
  <c r="L11" i="3"/>
  <c r="N11" i="3"/>
  <c r="J11" i="3"/>
  <c r="H11" i="3"/>
  <c r="I11" i="3" s="1"/>
  <c r="S11" i="3" s="1"/>
  <c r="L10" i="3"/>
  <c r="H10" i="3"/>
  <c r="I10" i="3" s="1"/>
  <c r="S10" i="3" s="1"/>
  <c r="P11" i="3"/>
  <c r="E22" i="1"/>
  <c r="E23" i="1" s="1"/>
  <c r="C2" i="2" s="1"/>
  <c r="E24" i="1"/>
  <c r="B16" i="2"/>
  <c r="N12" i="3" l="1"/>
  <c r="L12" i="3"/>
  <c r="H12" i="3"/>
  <c r="I12" i="3" s="1"/>
  <c r="S12" i="3" s="1"/>
  <c r="P12" i="3"/>
  <c r="L13" i="3"/>
  <c r="H13" i="3"/>
  <c r="I13" i="3" s="1"/>
  <c r="S13" i="3" s="1"/>
  <c r="B15" i="3"/>
  <c r="A14" i="3"/>
  <c r="E14" i="3" s="1"/>
  <c r="F14" i="3" s="1"/>
  <c r="G14" i="3" s="1"/>
  <c r="C14" i="3"/>
  <c r="H14" i="3" s="1"/>
  <c r="J13" i="3"/>
  <c r="N13" i="3"/>
  <c r="P13" i="3"/>
  <c r="R14" i="3"/>
  <c r="Q11" i="3"/>
  <c r="O11" i="3"/>
  <c r="M11" i="3"/>
  <c r="O10" i="3"/>
  <c r="Q10" i="3"/>
  <c r="M10" i="3"/>
  <c r="K11" i="3"/>
  <c r="K10" i="3"/>
  <c r="F2" i="2"/>
  <c r="F3" i="2"/>
  <c r="C15" i="2"/>
  <c r="C43" i="2"/>
  <c r="C51" i="2"/>
  <c r="C44" i="2"/>
  <c r="C52" i="2"/>
  <c r="C37" i="2"/>
  <c r="C45" i="2"/>
  <c r="C53" i="2"/>
  <c r="C38" i="2"/>
  <c r="C46" i="2"/>
  <c r="C54" i="2"/>
  <c r="C39" i="2"/>
  <c r="C47" i="2"/>
  <c r="C55" i="2"/>
  <c r="C40" i="2"/>
  <c r="C48" i="2"/>
  <c r="C56" i="2"/>
  <c r="C41" i="2"/>
  <c r="C49" i="2"/>
  <c r="C57" i="2"/>
  <c r="C42" i="2"/>
  <c r="C50" i="2"/>
  <c r="C7" i="2"/>
  <c r="C8" i="2"/>
  <c r="C14" i="2"/>
  <c r="C11" i="2"/>
  <c r="C13" i="2"/>
  <c r="C9" i="2"/>
  <c r="C12" i="2"/>
  <c r="C10" i="2"/>
  <c r="B17" i="2"/>
  <c r="C16" i="2"/>
  <c r="K13" i="3" l="1"/>
  <c r="M12" i="3"/>
  <c r="K12" i="3"/>
  <c r="Q12" i="3"/>
  <c r="I14" i="3"/>
  <c r="S14" i="3" s="1"/>
  <c r="O13" i="3"/>
  <c r="M13" i="3"/>
  <c r="O12" i="3"/>
  <c r="Q13" i="3"/>
  <c r="D14" i="3"/>
  <c r="L14" i="3"/>
  <c r="J14" i="3"/>
  <c r="P14" i="3"/>
  <c r="N14" i="3"/>
  <c r="O14" i="3" s="1"/>
  <c r="B16" i="3"/>
  <c r="A15" i="3"/>
  <c r="E15" i="3" s="1"/>
  <c r="F15" i="3" s="1"/>
  <c r="G15" i="3" s="1"/>
  <c r="C15" i="3"/>
  <c r="H15" i="3" s="1"/>
  <c r="R15" i="3"/>
  <c r="F4" i="2"/>
  <c r="B18" i="2"/>
  <c r="C17" i="2"/>
  <c r="Q14" i="3" l="1"/>
  <c r="K14" i="3"/>
  <c r="M14" i="3"/>
  <c r="I15" i="3"/>
  <c r="S15" i="3" s="1"/>
  <c r="D15" i="3"/>
  <c r="N15" i="3"/>
  <c r="J15" i="3"/>
  <c r="L15" i="3"/>
  <c r="P15" i="3"/>
  <c r="B17" i="3"/>
  <c r="A16" i="3"/>
  <c r="E16" i="3" s="1"/>
  <c r="F16" i="3" s="1"/>
  <c r="G16" i="3" s="1"/>
  <c r="C16" i="3"/>
  <c r="H16" i="3" s="1"/>
  <c r="R16" i="3"/>
  <c r="D47" i="2"/>
  <c r="D53" i="2"/>
  <c r="D43" i="2"/>
  <c r="D12" i="2"/>
  <c r="D33" i="2"/>
  <c r="D18" i="2"/>
  <c r="D34" i="2"/>
  <c r="D27" i="2"/>
  <c r="D45" i="2"/>
  <c r="D28" i="2"/>
  <c r="D46" i="2"/>
  <c r="D29" i="2"/>
  <c r="D7" i="2"/>
  <c r="D10" i="2"/>
  <c r="D52" i="2"/>
  <c r="D11" i="2"/>
  <c r="D54" i="2"/>
  <c r="D21" i="2"/>
  <c r="D13" i="2"/>
  <c r="D26" i="2"/>
  <c r="D44" i="2"/>
  <c r="D19" i="2"/>
  <c r="D35" i="2"/>
  <c r="D20" i="2"/>
  <c r="D36" i="2"/>
  <c r="D41" i="2"/>
  <c r="D42" i="2"/>
  <c r="D51" i="2"/>
  <c r="D24" i="2"/>
  <c r="D32" i="2"/>
  <c r="D14" i="2"/>
  <c r="D39" i="2"/>
  <c r="D50" i="2"/>
  <c r="D30" i="2"/>
  <c r="D57" i="2"/>
  <c r="D15" i="2"/>
  <c r="D22" i="2"/>
  <c r="D31" i="2"/>
  <c r="D37" i="2"/>
  <c r="D17" i="2"/>
  <c r="D23" i="2"/>
  <c r="D55" i="2"/>
  <c r="D38" i="2"/>
  <c r="D25" i="2"/>
  <c r="D40" i="2"/>
  <c r="D49" i="2"/>
  <c r="D9" i="2"/>
  <c r="D16" i="2"/>
  <c r="D56" i="2"/>
  <c r="D8" i="2"/>
  <c r="D48" i="2"/>
  <c r="B19" i="2"/>
  <c r="C18" i="2"/>
  <c r="K15" i="3" l="1"/>
  <c r="Q15" i="3"/>
  <c r="M15" i="3"/>
  <c r="O15" i="3"/>
  <c r="B18" i="3"/>
  <c r="A17" i="3"/>
  <c r="E17" i="3" s="1"/>
  <c r="F17" i="3" s="1"/>
  <c r="G17" i="3" s="1"/>
  <c r="C17" i="3"/>
  <c r="H17" i="3" s="1"/>
  <c r="I16" i="3"/>
  <c r="S16" i="3" s="1"/>
  <c r="D16" i="3"/>
  <c r="P16" i="3"/>
  <c r="N16" i="3"/>
  <c r="L16" i="3"/>
  <c r="J16" i="3"/>
  <c r="R17" i="3"/>
  <c r="B20" i="2"/>
  <c r="C19" i="2"/>
  <c r="I17" i="3" l="1"/>
  <c r="S17" i="3" s="1"/>
  <c r="K16" i="3"/>
  <c r="O16" i="3"/>
  <c r="Q16" i="3"/>
  <c r="M16" i="3"/>
  <c r="D17" i="3"/>
  <c r="L17" i="3"/>
  <c r="N17" i="3"/>
  <c r="J17" i="3"/>
  <c r="P17" i="3"/>
  <c r="B19" i="3"/>
  <c r="A18" i="3"/>
  <c r="E18" i="3" s="1"/>
  <c r="F18" i="3" s="1"/>
  <c r="G18" i="3" s="1"/>
  <c r="C18" i="3"/>
  <c r="H18" i="3" s="1"/>
  <c r="R18" i="3"/>
  <c r="B21" i="2"/>
  <c r="C20" i="2"/>
  <c r="K17" i="3" l="1"/>
  <c r="Q17" i="3"/>
  <c r="M17" i="3"/>
  <c r="O17" i="3"/>
  <c r="I18" i="3"/>
  <c r="S18" i="3" s="1"/>
  <c r="D18" i="3"/>
  <c r="N18" i="3"/>
  <c r="L18" i="3"/>
  <c r="P18" i="3"/>
  <c r="J18" i="3"/>
  <c r="B20" i="3"/>
  <c r="A19" i="3"/>
  <c r="E19" i="3" s="1"/>
  <c r="F19" i="3" s="1"/>
  <c r="G19" i="3" s="1"/>
  <c r="C19" i="3"/>
  <c r="H19" i="3"/>
  <c r="R19" i="3"/>
  <c r="B22" i="2"/>
  <c r="C21" i="2"/>
  <c r="K18" i="3" l="1"/>
  <c r="M18" i="3"/>
  <c r="Q18" i="3"/>
  <c r="O18" i="3"/>
  <c r="I19" i="3"/>
  <c r="S19" i="3" s="1"/>
  <c r="D19" i="3"/>
  <c r="N19" i="3"/>
  <c r="L19" i="3"/>
  <c r="J19" i="3"/>
  <c r="P19" i="3"/>
  <c r="B21" i="3"/>
  <c r="A20" i="3"/>
  <c r="E20" i="3" s="1"/>
  <c r="F20" i="3" s="1"/>
  <c r="G20" i="3" s="1"/>
  <c r="C20" i="3"/>
  <c r="H20" i="3"/>
  <c r="I20" i="3" s="1"/>
  <c r="R20" i="3"/>
  <c r="B23" i="2"/>
  <c r="C22" i="2"/>
  <c r="Q19" i="3" l="1"/>
  <c r="K19" i="3"/>
  <c r="M19" i="3"/>
  <c r="O19" i="3"/>
  <c r="D20" i="3"/>
  <c r="L20" i="3"/>
  <c r="M20" i="3" s="1"/>
  <c r="P20" i="3"/>
  <c r="Q20" i="3" s="1"/>
  <c r="N20" i="3"/>
  <c r="O20" i="3" s="1"/>
  <c r="J20" i="3"/>
  <c r="K20" i="3" s="1"/>
  <c r="B22" i="3"/>
  <c r="A21" i="3"/>
  <c r="E21" i="3" s="1"/>
  <c r="F21" i="3" s="1"/>
  <c r="G21" i="3" s="1"/>
  <c r="C21" i="3"/>
  <c r="H21" i="3"/>
  <c r="S20" i="3"/>
  <c r="R21" i="3"/>
  <c r="B24" i="2"/>
  <c r="C23" i="2"/>
  <c r="I21" i="3" l="1"/>
  <c r="D21" i="3"/>
  <c r="L21" i="3"/>
  <c r="M21" i="3" s="1"/>
  <c r="J21" i="3"/>
  <c r="K21" i="3" s="1"/>
  <c r="P21" i="3"/>
  <c r="Q21" i="3" s="1"/>
  <c r="N21" i="3"/>
  <c r="B23" i="3"/>
  <c r="A22" i="3"/>
  <c r="E22" i="3" s="1"/>
  <c r="F22" i="3" s="1"/>
  <c r="G22" i="3" s="1"/>
  <c r="C22" i="3"/>
  <c r="H22" i="3"/>
  <c r="R22" i="3"/>
  <c r="S21" i="3"/>
  <c r="B25" i="2"/>
  <c r="C24" i="2"/>
  <c r="I22" i="3" l="1"/>
  <c r="S22" i="3" s="1"/>
  <c r="D22" i="3"/>
  <c r="N22" i="3"/>
  <c r="L22" i="3"/>
  <c r="J22" i="3"/>
  <c r="P22" i="3"/>
  <c r="B24" i="3"/>
  <c r="A23" i="3"/>
  <c r="E23" i="3" s="1"/>
  <c r="F23" i="3" s="1"/>
  <c r="G23" i="3" s="1"/>
  <c r="C23" i="3"/>
  <c r="O21" i="3"/>
  <c r="R23" i="3"/>
  <c r="B26" i="2"/>
  <c r="C25" i="2"/>
  <c r="Q22" i="3" l="1"/>
  <c r="K22" i="3"/>
  <c r="M22" i="3"/>
  <c r="O22" i="3"/>
  <c r="H23" i="3"/>
  <c r="I23" i="3" s="1"/>
  <c r="S23" i="3" s="1"/>
  <c r="D23" i="3"/>
  <c r="L23" i="3"/>
  <c r="J23" i="3"/>
  <c r="N23" i="3"/>
  <c r="P23" i="3"/>
  <c r="B25" i="3"/>
  <c r="A24" i="3"/>
  <c r="E24" i="3" s="1"/>
  <c r="F24" i="3" s="1"/>
  <c r="G24" i="3" s="1"/>
  <c r="C24" i="3"/>
  <c r="H24" i="3" s="1"/>
  <c r="R24" i="3"/>
  <c r="B27" i="2"/>
  <c r="C26" i="2"/>
  <c r="A25" i="3" l="1"/>
  <c r="E25" i="3" s="1"/>
  <c r="F25" i="3" s="1"/>
  <c r="G25" i="3" s="1"/>
  <c r="B26" i="3"/>
  <c r="C25" i="3"/>
  <c r="H25" i="3"/>
  <c r="I24" i="3"/>
  <c r="S24" i="3" s="1"/>
  <c r="Q23" i="3"/>
  <c r="O23" i="3"/>
  <c r="M23" i="3"/>
  <c r="L24" i="3"/>
  <c r="N24" i="3"/>
  <c r="J24" i="3"/>
  <c r="D24" i="3"/>
  <c r="P24" i="3"/>
  <c r="K23" i="3"/>
  <c r="R25" i="3"/>
  <c r="B28" i="2"/>
  <c r="C27" i="2"/>
  <c r="Q24" i="3" l="1"/>
  <c r="I25" i="3"/>
  <c r="S25" i="3" s="1"/>
  <c r="K24" i="3"/>
  <c r="D25" i="3"/>
  <c r="N25" i="3"/>
  <c r="L25" i="3"/>
  <c r="J25" i="3"/>
  <c r="P25" i="3"/>
  <c r="A26" i="3"/>
  <c r="E26" i="3" s="1"/>
  <c r="F26" i="3" s="1"/>
  <c r="G26" i="3" s="1"/>
  <c r="C26" i="3"/>
  <c r="B27" i="3"/>
  <c r="M24" i="3"/>
  <c r="O24" i="3"/>
  <c r="R26" i="3"/>
  <c r="B29" i="2"/>
  <c r="C28" i="2"/>
  <c r="O25" i="3" l="1"/>
  <c r="Q25" i="3"/>
  <c r="K25" i="3"/>
  <c r="M25" i="3"/>
  <c r="B28" i="3"/>
  <c r="C27" i="3"/>
  <c r="H27" i="3" s="1"/>
  <c r="A27" i="3"/>
  <c r="E27" i="3" s="1"/>
  <c r="F27" i="3" s="1"/>
  <c r="G27" i="3" s="1"/>
  <c r="H26" i="3"/>
  <c r="I26" i="3" s="1"/>
  <c r="D26" i="3"/>
  <c r="L26" i="3"/>
  <c r="N26" i="3"/>
  <c r="J26" i="3"/>
  <c r="P26" i="3"/>
  <c r="R27" i="3"/>
  <c r="B30" i="2"/>
  <c r="C29" i="2"/>
  <c r="I27" i="3" l="1"/>
  <c r="S27" i="3" s="1"/>
  <c r="O26" i="3"/>
  <c r="S26" i="3"/>
  <c r="D27" i="3"/>
  <c r="J27" i="3"/>
  <c r="N27" i="3"/>
  <c r="P27" i="3"/>
  <c r="L27" i="3"/>
  <c r="K26" i="3"/>
  <c r="B29" i="3"/>
  <c r="A28" i="3"/>
  <c r="E28" i="3" s="1"/>
  <c r="F28" i="3" s="1"/>
  <c r="G28" i="3" s="1"/>
  <c r="C28" i="3"/>
  <c r="Q26" i="3"/>
  <c r="M26" i="3"/>
  <c r="R28" i="3"/>
  <c r="B31" i="2"/>
  <c r="C30" i="2"/>
  <c r="K27" i="3" l="1"/>
  <c r="O27" i="3"/>
  <c r="M27" i="3"/>
  <c r="Q27" i="3"/>
  <c r="J28" i="3"/>
  <c r="N28" i="3"/>
  <c r="P28" i="3"/>
  <c r="D28" i="3"/>
  <c r="L28" i="3"/>
  <c r="H28" i="3"/>
  <c r="I28" i="3" s="1"/>
  <c r="C29" i="3"/>
  <c r="B30" i="3"/>
  <c r="A29" i="3"/>
  <c r="E29" i="3" s="1"/>
  <c r="F29" i="3" s="1"/>
  <c r="G29" i="3" s="1"/>
  <c r="R29" i="3"/>
  <c r="C31" i="2"/>
  <c r="B32" i="2"/>
  <c r="O28" i="3" l="1"/>
  <c r="S28" i="3"/>
  <c r="K28" i="3"/>
  <c r="Q28" i="3"/>
  <c r="M28" i="3"/>
  <c r="A30" i="3"/>
  <c r="E30" i="3" s="1"/>
  <c r="F30" i="3" s="1"/>
  <c r="G30" i="3" s="1"/>
  <c r="C30" i="3"/>
  <c r="N29" i="3"/>
  <c r="P29" i="3"/>
  <c r="D29" i="3"/>
  <c r="L29" i="3"/>
  <c r="J29" i="3"/>
  <c r="H29" i="3"/>
  <c r="I29" i="3" s="1"/>
  <c r="R30" i="3"/>
  <c r="B33" i="2"/>
  <c r="C32" i="2"/>
  <c r="O29" i="3" l="1"/>
  <c r="S29" i="3"/>
  <c r="D30" i="3"/>
  <c r="P30" i="3"/>
  <c r="J30" i="3"/>
  <c r="N30" i="3"/>
  <c r="L30" i="3"/>
  <c r="M29" i="3"/>
  <c r="K29" i="3"/>
  <c r="Q29" i="3"/>
  <c r="H30" i="3"/>
  <c r="I30" i="3" s="1"/>
  <c r="B34" i="2"/>
  <c r="C33" i="2"/>
  <c r="O30" i="3" l="1"/>
  <c r="S30" i="3"/>
  <c r="Q30" i="3"/>
  <c r="M30" i="3"/>
  <c r="K30" i="3"/>
  <c r="B35" i="2"/>
  <c r="C34" i="2"/>
  <c r="B36" i="2" l="1"/>
  <c r="C36" i="2" s="1"/>
  <c r="C35" i="2"/>
</calcChain>
</file>

<file path=xl/sharedStrings.xml><?xml version="1.0" encoding="utf-8"?>
<sst xmlns="http://schemas.openxmlformats.org/spreadsheetml/2006/main" count="97" uniqueCount="55">
  <si>
    <t>lambda [m]</t>
  </si>
  <si>
    <t>NA</t>
  </si>
  <si>
    <t>user</t>
  </si>
  <si>
    <t>calc</t>
  </si>
  <si>
    <t>Microscope</t>
  </si>
  <si>
    <t>Particle</t>
  </si>
  <si>
    <t>T [K]</t>
  </si>
  <si>
    <t>k_boltz [J/K]</t>
  </si>
  <si>
    <t>viscocity [Pa s]</t>
  </si>
  <si>
    <t>Stokes-Einstein</t>
  </si>
  <si>
    <t>comment</t>
  </si>
  <si>
    <t>Std of microscope</t>
  </si>
  <si>
    <t>Experiment</t>
  </si>
  <si>
    <t>framerate [Hz]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</si>
  <si>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[m]</t>
    </r>
  </si>
  <si>
    <t>FWHM [m]</t>
  </si>
  <si>
    <t>d [m]</t>
  </si>
  <si>
    <t>D [m²/s]</t>
  </si>
  <si>
    <r>
      <t>t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[s]</t>
    </r>
  </si>
  <si>
    <t>Δt [s]</t>
  </si>
  <si>
    <t>Expore time</t>
  </si>
  <si>
    <t>Lagtime</t>
  </si>
  <si>
    <t>P</t>
  </si>
  <si>
    <t>number of Photons per particle (100 is rel. dark)</t>
  </si>
  <si>
    <t>dynamic localization accuracy</t>
  </si>
  <si>
    <t>(static) localization accuracy</t>
  </si>
  <si>
    <r>
      <t>σ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[m²]</t>
    </r>
  </si>
  <si>
    <r>
      <t>σ</t>
    </r>
    <r>
      <rPr>
        <sz val="11"/>
        <color theme="1"/>
        <rFont val="Calibri"/>
        <family val="2"/>
      </rPr>
      <t xml:space="preserve"> [m²]</t>
    </r>
  </si>
  <si>
    <t>reduced square localization error</t>
  </si>
  <si>
    <t>x</t>
  </si>
  <si>
    <t>R</t>
  </si>
  <si>
    <t>motion blur coefficent</t>
  </si>
  <si>
    <t>CRLB</t>
  </si>
  <si>
    <r>
      <t>P</t>
    </r>
    <r>
      <rPr>
        <vertAlign val="subscript"/>
        <sz val="11"/>
        <color theme="1"/>
        <rFont val="Calibri"/>
        <family val="2"/>
        <scheme val="minor"/>
      </rPr>
      <t>min</t>
    </r>
  </si>
  <si>
    <t>minimum number of photons for quasi optimal fit</t>
  </si>
  <si>
    <t>rel. Error of D fit</t>
  </si>
  <si>
    <t>N</t>
  </si>
  <si>
    <t>S(D)/D</t>
  </si>
  <si>
    <t>N_fac</t>
  </si>
  <si>
    <t>EQ 12</t>
  </si>
  <si>
    <t>EQ 7</t>
  </si>
  <si>
    <t>δ(x)</t>
  </si>
  <si>
    <t>y1</t>
  </si>
  <si>
    <t>y2</t>
  </si>
  <si>
    <r>
      <t>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[s]</t>
    </r>
  </si>
  <si>
    <t>Readout time</t>
  </si>
  <si>
    <t>scale</t>
  </si>
  <si>
    <t>scaling factor</t>
  </si>
  <si>
    <t>original</t>
  </si>
  <si>
    <t>f [Hz]</t>
  </si>
  <si>
    <t>N = 20</t>
  </si>
  <si>
    <t>N = 100</t>
  </si>
  <si>
    <t>N = 500</t>
  </si>
  <si>
    <t>N = 10000</t>
  </si>
  <si>
    <t>N-fix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</si>
</sst>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E+00"/>
    <numFmt numFmtId="165" formatCode="0.0%"/>
    <numFmt numFmtId="166" formatCode="0.000"/>
    <numFmt numFmtId="173" formatCode="0.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7" fillId="0" borderId="0" applyFon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0" xfId="0" applyNumberFormat="1"/>
    <xf numFmtId="2" fontId="0" fillId="0" borderId="0" xfId="0" applyNumberFormat="1"/>
    <xf numFmtId="0" fontId="5" fillId="0" borderId="0" xfId="0" applyFont="1"/>
    <xf numFmtId="0" fontId="3" fillId="0" borderId="0" xfId="0" applyNumberFormat="1" applyFon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3" applyFont="1"/>
    <xf numFmtId="9" fontId="0" fillId="4" borderId="0" xfId="3" applyFont="1" applyFill="1"/>
    <xf numFmtId="0" fontId="0" fillId="4" borderId="0" xfId="0" applyFill="1"/>
    <xf numFmtId="166" fontId="0" fillId="4" borderId="0" xfId="0" applyNumberFormat="1" applyFill="1"/>
    <xf numFmtId="11" fontId="0" fillId="4" borderId="0" xfId="0" applyNumberFormat="1" applyFill="1"/>
    <xf numFmtId="11" fontId="0" fillId="5" borderId="0" xfId="0" applyNumberFormat="1" applyFill="1"/>
    <xf numFmtId="0" fontId="5" fillId="0" borderId="0" xfId="0" applyNumberFormat="1" applyFont="1"/>
    <xf numFmtId="1" fontId="0" fillId="4" borderId="0" xfId="0" applyNumberFormat="1" applyFill="1"/>
    <xf numFmtId="1" fontId="0" fillId="5" borderId="0" xfId="0" applyNumberFormat="1" applyFill="1"/>
    <xf numFmtId="1" fontId="0" fillId="0" borderId="0" xfId="0" applyNumberFormat="1"/>
    <xf numFmtId="166" fontId="0" fillId="5" borderId="0" xfId="0" applyNumberFormat="1" applyFill="1"/>
    <xf numFmtId="0" fontId="0" fillId="0" borderId="0" xfId="0" applyAlignment="1">
      <alignment horizontal="center"/>
    </xf>
    <xf numFmtId="173" fontId="0" fillId="4" borderId="0" xfId="0" applyNumberFormat="1" applyFill="1"/>
    <xf numFmtId="173" fontId="0" fillId="0" borderId="0" xfId="0" applyNumberFormat="1"/>
    <xf numFmtId="165" fontId="0" fillId="4" borderId="0" xfId="3" applyNumberFormat="1" applyFont="1" applyFill="1"/>
    <xf numFmtId="165" fontId="0" fillId="5" borderId="0" xfId="3" applyNumberFormat="1" applyFont="1" applyFill="1"/>
  </cellXfs>
  <cellStyles count="4">
    <cellStyle name="Gut" xfId="1" builtinId="26"/>
    <cellStyle name="Prozent" xfId="3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maximal possible precision given a number of frames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 rel. error of D'!$C$5</c:f>
              <c:strCache>
                <c:ptCount val="1"/>
                <c:pt idx="0">
                  <c:v>S(D)/D</c:v>
                </c:pt>
              </c:strCache>
            </c:strRef>
          </c:tx>
          <c:marker>
            <c:symbol val="none"/>
          </c:marker>
          <c:xVal>
            <c:numRef>
              <c:f>'min rel. error of D'!$B$7:$B$57</c:f>
              <c:numCache>
                <c:formatCode>#,##0</c:formatCode>
                <c:ptCount val="51"/>
                <c:pt idx="0">
                  <c:v>10</c:v>
                </c:pt>
                <c:pt idx="1">
                  <c:v>12</c:v>
                </c:pt>
                <c:pt idx="2">
                  <c:v>14.399999999999999</c:v>
                </c:pt>
                <c:pt idx="3">
                  <c:v>17.279999999999998</c:v>
                </c:pt>
                <c:pt idx="4">
                  <c:v>20.735999999999997</c:v>
                </c:pt>
                <c:pt idx="5">
                  <c:v>24.883199999999995</c:v>
                </c:pt>
                <c:pt idx="6">
                  <c:v>29.859839999999991</c:v>
                </c:pt>
                <c:pt idx="7">
                  <c:v>35.831807999999988</c:v>
                </c:pt>
                <c:pt idx="8">
                  <c:v>42.998169599999983</c:v>
                </c:pt>
                <c:pt idx="9">
                  <c:v>51.597803519999978</c:v>
                </c:pt>
                <c:pt idx="10">
                  <c:v>61.917364223999968</c:v>
                </c:pt>
                <c:pt idx="11">
                  <c:v>74.300837068799964</c:v>
                </c:pt>
                <c:pt idx="12">
                  <c:v>89.16100448255996</c:v>
                </c:pt>
                <c:pt idx="13">
                  <c:v>106.99320537907195</c:v>
                </c:pt>
                <c:pt idx="14">
                  <c:v>128.39184645488635</c:v>
                </c:pt>
                <c:pt idx="15">
                  <c:v>154.07021574586361</c:v>
                </c:pt>
                <c:pt idx="16">
                  <c:v>184.88425889503631</c:v>
                </c:pt>
                <c:pt idx="17">
                  <c:v>221.86111067404357</c:v>
                </c:pt>
                <c:pt idx="18">
                  <c:v>266.23333280885225</c:v>
                </c:pt>
                <c:pt idx="19">
                  <c:v>319.47999937062269</c:v>
                </c:pt>
                <c:pt idx="20">
                  <c:v>383.37599924474722</c:v>
                </c:pt>
                <c:pt idx="21">
                  <c:v>460.05119909369665</c:v>
                </c:pt>
                <c:pt idx="22">
                  <c:v>552.06143891243596</c:v>
                </c:pt>
                <c:pt idx="23">
                  <c:v>662.47372669492313</c:v>
                </c:pt>
                <c:pt idx="24">
                  <c:v>794.96847203390769</c:v>
                </c:pt>
                <c:pt idx="25">
                  <c:v>953.9621664406892</c:v>
                </c:pt>
                <c:pt idx="26">
                  <c:v>1144.7545997288271</c:v>
                </c:pt>
                <c:pt idx="27">
                  <c:v>1373.7055196745926</c:v>
                </c:pt>
                <c:pt idx="28">
                  <c:v>1648.4466236095111</c:v>
                </c:pt>
                <c:pt idx="29">
                  <c:v>1978.1359483314131</c:v>
                </c:pt>
                <c:pt idx="30">
                  <c:v>2373.7631379976956</c:v>
                </c:pt>
                <c:pt idx="31">
                  <c:v>2848.5157655972348</c:v>
                </c:pt>
                <c:pt idx="32">
                  <c:v>3418.2189187166819</c:v>
                </c:pt>
                <c:pt idx="33">
                  <c:v>4101.8627024600182</c:v>
                </c:pt>
                <c:pt idx="34">
                  <c:v>4922.2352429520215</c:v>
                </c:pt>
                <c:pt idx="35">
                  <c:v>5906.6822915424254</c:v>
                </c:pt>
                <c:pt idx="36">
                  <c:v>7088.0187498509104</c:v>
                </c:pt>
                <c:pt idx="37">
                  <c:v>8505.6224998210928</c:v>
                </c:pt>
                <c:pt idx="38">
                  <c:v>10206.746999785311</c:v>
                </c:pt>
                <c:pt idx="39">
                  <c:v>12248.096399742373</c:v>
                </c:pt>
                <c:pt idx="40">
                  <c:v>14697.715679690848</c:v>
                </c:pt>
                <c:pt idx="41">
                  <c:v>17637.258815629015</c:v>
                </c:pt>
                <c:pt idx="42">
                  <c:v>21164.710578754817</c:v>
                </c:pt>
                <c:pt idx="43">
                  <c:v>25397.652694505781</c:v>
                </c:pt>
                <c:pt idx="44">
                  <c:v>30477.183233406937</c:v>
                </c:pt>
                <c:pt idx="45">
                  <c:v>36572.619880088321</c:v>
                </c:pt>
                <c:pt idx="46">
                  <c:v>43887.143856105984</c:v>
                </c:pt>
                <c:pt idx="47">
                  <c:v>52664.572627327179</c:v>
                </c:pt>
                <c:pt idx="48">
                  <c:v>63197.487152792615</c:v>
                </c:pt>
                <c:pt idx="49">
                  <c:v>75836.984583351135</c:v>
                </c:pt>
                <c:pt idx="50">
                  <c:v>91004.381500021365</c:v>
                </c:pt>
              </c:numCache>
            </c:numRef>
          </c:xVal>
          <c:yVal>
            <c:numRef>
              <c:f>'min rel. error of D'!$C$7:$C$57</c:f>
              <c:numCache>
                <c:formatCode>0.0%</c:formatCode>
                <c:ptCount val="51"/>
                <c:pt idx="0">
                  <c:v>0.76539982726438816</c:v>
                </c:pt>
                <c:pt idx="1">
                  <c:v>0.69233019317422118</c:v>
                </c:pt>
                <c:pt idx="2">
                  <c:v>0.62727389695811098</c:v>
                </c:pt>
                <c:pt idx="3">
                  <c:v>0.56909191319382169</c:v>
                </c:pt>
                <c:pt idx="4">
                  <c:v>0.51686847738258868</c:v>
                </c:pt>
                <c:pt idx="5">
                  <c:v>0.46985446345619036</c:v>
                </c:pt>
                <c:pt idx="6">
                  <c:v>0.42742769147289206</c:v>
                </c:pt>
                <c:pt idx="7">
                  <c:v>0.38906450007205384</c:v>
                </c:pt>
                <c:pt idx="8">
                  <c:v>0.35431899308560905</c:v>
                </c:pt>
                <c:pt idx="9">
                  <c:v>0.32280762341742841</c:v>
                </c:pt>
                <c:pt idx="10">
                  <c:v>0.29419755737323755</c:v>
                </c:pt>
                <c:pt idx="11">
                  <c:v>0.26819776076344271</c:v>
                </c:pt>
                <c:pt idx="12">
                  <c:v>0.24455207364485609</c:v>
                </c:pt>
                <c:pt idx="13">
                  <c:v>0.22303375775028567</c:v>
                </c:pt>
                <c:pt idx="14">
                  <c:v>0.20344114824000803</c:v>
                </c:pt>
                <c:pt idx="15">
                  <c:v>0.18559414336314842</c:v>
                </c:pt>
                <c:pt idx="16">
                  <c:v>0.1693313370909095</c:v>
                </c:pt>
                <c:pt idx="17">
                  <c:v>0.15450765055177426</c:v>
                </c:pt>
                <c:pt idx="18">
                  <c:v>0.1409923545855484</c:v>
                </c:pt>
                <c:pt idx="19">
                  <c:v>0.12866740223356618</c:v>
                </c:pt>
                <c:pt idx="20">
                  <c:v>0.11742600941351472</c:v>
                </c:pt>
                <c:pt idx="21">
                  <c:v>0.10717143639857299</c:v>
                </c:pt>
                <c:pt idx="22">
                  <c:v>9.7815933434287086E-2</c:v>
                </c:pt>
                <c:pt idx="23">
                  <c:v>8.9279821873056317E-2</c:v>
                </c:pt>
                <c:pt idx="24">
                  <c:v>8.1490688291969038E-2</c:v>
                </c:pt>
                <c:pt idx="25">
                  <c:v>7.4382673694115595E-2</c:v>
                </c:pt>
                <c:pt idx="26">
                  <c:v>6.7895843446323031E-2</c:v>
                </c:pt>
                <c:pt idx="27">
                  <c:v>6.1975626348299132E-2</c:v>
                </c:pt>
                <c:pt idx="28">
                  <c:v>5.6572313359024164E-2</c:v>
                </c:pt>
                <c:pt idx="29">
                  <c:v>5.1640608173875502E-2</c:v>
                </c:pt>
                <c:pt idx="30">
                  <c:v>4.7139223160735724E-2</c:v>
                </c:pt>
                <c:pt idx="31">
                  <c:v>4.3030515207874494E-2</c:v>
                </c:pt>
                <c:pt idx="32">
                  <c:v>3.9280156872911594E-2</c:v>
                </c:pt>
                <c:pt idx="33">
                  <c:v>3.5856838897676747E-2</c:v>
                </c:pt>
                <c:pt idx="34">
                  <c:v>3.2732000703957827E-2</c:v>
                </c:pt>
                <c:pt idx="35">
                  <c:v>2.987958593715391E-2</c:v>
                </c:pt>
                <c:pt idx="36">
                  <c:v>2.7275820499514703E-2</c:v>
                </c:pt>
                <c:pt idx="37">
                  <c:v>2.4899010827922455E-2</c:v>
                </c:pt>
                <c:pt idx="38">
                  <c:v>2.2729360435373037E-2</c:v>
                </c:pt>
                <c:pt idx="39">
                  <c:v>2.074880295998344E-2</c:v>
                </c:pt>
                <c:pt idx="40">
                  <c:v>1.894085015792427E-2</c:v>
                </c:pt>
                <c:pt idx="41">
                  <c:v>1.7290453442963934E-2</c:v>
                </c:pt>
                <c:pt idx="42">
                  <c:v>1.5783877719895055E-2</c:v>
                </c:pt>
                <c:pt idx="43">
                  <c:v>1.4408586385619765E-2</c:v>
                </c:pt>
                <c:pt idx="44">
                  <c:v>1.3153136482991195E-2</c:v>
                </c:pt>
                <c:pt idx="45">
                  <c:v>1.2007083090966663E-2</c:v>
                </c:pt>
                <c:pt idx="46">
                  <c:v>1.0960892122103437E-2</c:v>
                </c:pt>
                <c:pt idx="47">
                  <c:v>1.0005860776454411E-2</c:v>
                </c:pt>
                <c:pt idx="48">
                  <c:v>9.134044970759923E-3</c:v>
                </c:pt>
                <c:pt idx="49">
                  <c:v>8.3381931245295263E-3</c:v>
                </c:pt>
                <c:pt idx="50">
                  <c:v>7.6116857410393696E-3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86624"/>
        <c:axId val="244387200"/>
      </c:scatterChart>
      <c:valAx>
        <c:axId val="244386624"/>
        <c:scaling>
          <c:logBase val="10"/>
          <c:orientation val="minMax"/>
          <c:min val="1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in"/>
        <c:minorTickMark val="none"/>
        <c:tickLblPos val="low"/>
        <c:crossAx val="244387200"/>
        <c:crosses val="autoZero"/>
        <c:crossBetween val="midCat"/>
      </c:valAx>
      <c:valAx>
        <c:axId val="24438720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minimum rel. error of D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spPr>
          <a:ln w="9525"/>
        </c:spPr>
        <c:crossAx val="24438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'CRLB for different t_exp'!$Q$8</c:f>
              <c:strCache>
                <c:ptCount val="1"/>
                <c:pt idx="0">
                  <c:v>CRLB</c:v>
                </c:pt>
              </c:strCache>
            </c:strRef>
          </c:tx>
          <c:xVal>
            <c:numRef>
              <c:f>'CRLB for different t_exp'!$P$9:$P$30</c:f>
              <c:numCache>
                <c:formatCode>0</c:formatCode>
                <c:ptCount val="22"/>
                <c:pt idx="0" formatCode="General">
                  <c:v>10000</c:v>
                </c:pt>
                <c:pt idx="1">
                  <c:v>19841.268864953439</c:v>
                </c:pt>
                <c:pt idx="2">
                  <c:v>19841.266753886615</c:v>
                </c:pt>
                <c:pt idx="3">
                  <c:v>19841.260078110121</c:v>
                </c:pt>
                <c:pt idx="4">
                  <c:v>19841.238967480815</c:v>
                </c:pt>
                <c:pt idx="5">
                  <c:v>19841.172210105</c:v>
                </c:pt>
                <c:pt idx="6">
                  <c:v>19840.961107703162</c:v>
                </c:pt>
                <c:pt idx="7">
                  <c:v>19840.293572855939</c:v>
                </c:pt>
                <c:pt idx="8">
                  <c:v>19838.182937897764</c:v>
                </c:pt>
                <c:pt idx="9">
                  <c:v>19831.511478478846</c:v>
                </c:pt>
                <c:pt idx="10">
                  <c:v>19810.44397053037</c:v>
                </c:pt>
                <c:pt idx="11">
                  <c:v>19744.1162533565</c:v>
                </c:pt>
                <c:pt idx="12">
                  <c:v>19537.261959039406</c:v>
                </c:pt>
                <c:pt idx="13">
                  <c:v>18910.741301059003</c:v>
                </c:pt>
                <c:pt idx="14">
                  <c:v>17169.607804706429</c:v>
                </c:pt>
                <c:pt idx="15">
                  <c:v>13297.872340425529</c:v>
                </c:pt>
                <c:pt idx="16">
                  <c:v>7762.4994383131861</c:v>
                </c:pt>
                <c:pt idx="17">
                  <c:v>3351.206434316352</c:v>
                </c:pt>
                <c:pt idx="18">
                  <c:v>1198.1143696653987</c:v>
                </c:pt>
                <c:pt idx="19">
                  <c:v>395.1944356623456</c:v>
                </c:pt>
                <c:pt idx="20">
                  <c:v>126.69696975468695</c:v>
                </c:pt>
                <c:pt idx="21">
                  <c:v>40.240800952902127</c:v>
                </c:pt>
              </c:numCache>
            </c:numRef>
          </c:xVal>
          <c:yVal>
            <c:numRef>
              <c:f>'CRLB for different t_exp'!$Q$9:$Q$30</c:f>
              <c:numCache>
                <c:formatCode>0.0%</c:formatCode>
                <c:ptCount val="22"/>
                <c:pt idx="0">
                  <c:v>2.2963143003787198E-2</c:v>
                </c:pt>
                <c:pt idx="1">
                  <c:v>5.8955880948354286E-2</c:v>
                </c:pt>
                <c:pt idx="2">
                  <c:v>4.4788503212630039E-2</c:v>
                </c:pt>
                <c:pt idx="3">
                  <c:v>3.4424903297775374E-2</c:v>
                </c:pt>
                <c:pt idx="4">
                  <c:v>2.7072410187041481E-2</c:v>
                </c:pt>
                <c:pt idx="5">
                  <c:v>2.2213078003562148E-2</c:v>
                </c:pt>
                <c:pt idx="6">
                  <c:v>1.9428453965869005E-2</c:v>
                </c:pt>
                <c:pt idx="7">
                  <c:v>1.8134081357731698E-2</c:v>
                </c:pt>
                <c:pt idx="8">
                  <c:v>1.7639883994937731E-2</c:v>
                </c:pt>
                <c:pt idx="9">
                  <c:v>1.7473612482116031E-2</c:v>
                </c:pt>
                <c:pt idx="10">
                  <c:v>1.7426133171558531E-2</c:v>
                </c:pt>
                <c:pt idx="11">
                  <c:v>1.7431420958895105E-2</c:v>
                </c:pt>
                <c:pt idx="12">
                  <c:v>1.7497499696060136E-2</c:v>
                </c:pt>
                <c:pt idx="13">
                  <c:v>1.7719834373656904E-2</c:v>
                </c:pt>
                <c:pt idx="14">
                  <c:v>1.8406020433312568E-2</c:v>
                </c:pt>
                <c:pt idx="15">
                  <c:v>2.0398977551644208E-2</c:v>
                </c:pt>
                <c:pt idx="16">
                  <c:v>2.5591666434572197E-2</c:v>
                </c:pt>
                <c:pt idx="17">
                  <c:v>3.7340091112431854E-2</c:v>
                </c:pt>
                <c:pt idx="18">
                  <c:v>6.0934358738225301E-2</c:v>
                </c:pt>
                <c:pt idx="19">
                  <c:v>0.1051081409931628</c:v>
                </c:pt>
                <c:pt idx="20">
                  <c:v>0.18547505790524033</c:v>
                </c:pt>
                <c:pt idx="21">
                  <c:v>0.3315699565126673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032"/>
        <c:axId val="39890880"/>
      </c:scatterChart>
      <c:valAx>
        <c:axId val="2128760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high"/>
        <c:crossAx val="39890880"/>
        <c:crosses val="autoZero"/>
        <c:crossBetween val="midCat"/>
      </c:valAx>
      <c:valAx>
        <c:axId val="398908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 Error CRLB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21287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xVal>
            <c:numRef>
              <c:f>'CRLB for different t_exp'!$B$10:$B$30</c:f>
              <c:numCache>
                <c:formatCode>0.0E+00</c:formatCode>
                <c:ptCount val="21"/>
                <c:pt idx="0">
                  <c:v>9.9999999999999994E-12</c:v>
                </c:pt>
                <c:pt idx="1">
                  <c:v>3.1622776601683794E-11</c:v>
                </c:pt>
                <c:pt idx="2">
                  <c:v>1E-10</c:v>
                </c:pt>
                <c:pt idx="3">
                  <c:v>3.1622776601683795E-10</c:v>
                </c:pt>
                <c:pt idx="4">
                  <c:v>1.0000000000000001E-9</c:v>
                </c:pt>
                <c:pt idx="5">
                  <c:v>3.1622776601683795E-9</c:v>
                </c:pt>
                <c:pt idx="6">
                  <c:v>1.0000000000000002E-8</c:v>
                </c:pt>
                <c:pt idx="7">
                  <c:v>3.1622776601683799E-8</c:v>
                </c:pt>
                <c:pt idx="8">
                  <c:v>1.0000000000000002E-7</c:v>
                </c:pt>
                <c:pt idx="9">
                  <c:v>3.1622776601683802E-7</c:v>
                </c:pt>
                <c:pt idx="10">
                  <c:v>1.0000000000000004E-6</c:v>
                </c:pt>
                <c:pt idx="11">
                  <c:v>3.1622776601683809E-6</c:v>
                </c:pt>
                <c:pt idx="12">
                  <c:v>1.0000000000000006E-5</c:v>
                </c:pt>
                <c:pt idx="13">
                  <c:v>3.1622776601683816E-5</c:v>
                </c:pt>
                <c:pt idx="14">
                  <c:v>1.0000000000000007E-4</c:v>
                </c:pt>
                <c:pt idx="15">
                  <c:v>3.1622776601683816E-4</c:v>
                </c:pt>
                <c:pt idx="16">
                  <c:v>1.0000000000000007E-3</c:v>
                </c:pt>
                <c:pt idx="17">
                  <c:v>3.1622776601683816E-3</c:v>
                </c:pt>
                <c:pt idx="18">
                  <c:v>1.0000000000000007E-2</c:v>
                </c:pt>
                <c:pt idx="19">
                  <c:v>3.1622776601683819E-2</c:v>
                </c:pt>
                <c:pt idx="20">
                  <c:v>0.10000000000000009</c:v>
                </c:pt>
              </c:numCache>
            </c:numRef>
          </c:xVal>
          <c:yVal>
            <c:numRef>
              <c:f>'CRLB for different t_exp'!$Q$10:$Q$30</c:f>
              <c:numCache>
                <c:formatCode>0.0%</c:formatCode>
                <c:ptCount val="21"/>
                <c:pt idx="0">
                  <c:v>5.8955880948354286E-2</c:v>
                </c:pt>
                <c:pt idx="1">
                  <c:v>4.4788503212630039E-2</c:v>
                </c:pt>
                <c:pt idx="2">
                  <c:v>3.4424903297775374E-2</c:v>
                </c:pt>
                <c:pt idx="3">
                  <c:v>2.7072410187041481E-2</c:v>
                </c:pt>
                <c:pt idx="4">
                  <c:v>2.2213078003562148E-2</c:v>
                </c:pt>
                <c:pt idx="5">
                  <c:v>1.9428453965869005E-2</c:v>
                </c:pt>
                <c:pt idx="6">
                  <c:v>1.8134081357731698E-2</c:v>
                </c:pt>
                <c:pt idx="7">
                  <c:v>1.7639883994937731E-2</c:v>
                </c:pt>
                <c:pt idx="8">
                  <c:v>1.7473612482116031E-2</c:v>
                </c:pt>
                <c:pt idx="9">
                  <c:v>1.7426133171558531E-2</c:v>
                </c:pt>
                <c:pt idx="10">
                  <c:v>1.7431420958895105E-2</c:v>
                </c:pt>
                <c:pt idx="11">
                  <c:v>1.7497499696060136E-2</c:v>
                </c:pt>
                <c:pt idx="12">
                  <c:v>1.7719834373656904E-2</c:v>
                </c:pt>
                <c:pt idx="13">
                  <c:v>1.8406020433312568E-2</c:v>
                </c:pt>
                <c:pt idx="14">
                  <c:v>2.0398977551644208E-2</c:v>
                </c:pt>
                <c:pt idx="15">
                  <c:v>2.5591666434572197E-2</c:v>
                </c:pt>
                <c:pt idx="16">
                  <c:v>3.7340091112431854E-2</c:v>
                </c:pt>
                <c:pt idx="17">
                  <c:v>6.0934358738225301E-2</c:v>
                </c:pt>
                <c:pt idx="18">
                  <c:v>0.1051081409931628</c:v>
                </c:pt>
                <c:pt idx="19">
                  <c:v>0.18547505790524033</c:v>
                </c:pt>
                <c:pt idx="20">
                  <c:v>0.3315699565126673</c:v>
                </c:pt>
              </c:numCache>
            </c:numRef>
          </c:yVal>
          <c:smooth val="1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39893184"/>
        <c:axId val="148725760"/>
      </c:scatterChart>
      <c:valAx>
        <c:axId val="39893184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t_exp [s]</a:t>
                </a:r>
              </a:p>
            </c:rich>
          </c:tx>
          <c:layout/>
          <c:overlay val="0"/>
        </c:title>
        <c:numFmt formatCode="0.0E+00" sourceLinked="1"/>
        <c:majorTickMark val="out"/>
        <c:minorTickMark val="none"/>
        <c:tickLblPos val="low"/>
        <c:crossAx val="148725760"/>
        <c:crosses val="autoZero"/>
        <c:crossBetween val="midCat"/>
      </c:valAx>
      <c:valAx>
        <c:axId val="148725760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 Error of Diameter (CRLB)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low"/>
        <c:crossAx val="39893184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'CRLB for different t_exp'!$D$10:$D$30</c:f>
              <c:numCache>
                <c:formatCode>0</c:formatCode>
                <c:ptCount val="21"/>
                <c:pt idx="0">
                  <c:v>4920.6346785084525</c:v>
                </c:pt>
                <c:pt idx="1">
                  <c:v>4920.6341549638801</c:v>
                </c:pt>
                <c:pt idx="2">
                  <c:v>4920.6324993713097</c:v>
                </c:pt>
                <c:pt idx="3">
                  <c:v>4920.6272639352419</c:v>
                </c:pt>
                <c:pt idx="4">
                  <c:v>4920.61070810604</c:v>
                </c:pt>
                <c:pt idx="5">
                  <c:v>4920.5583547103843</c:v>
                </c:pt>
                <c:pt idx="6">
                  <c:v>4920.3928060682729</c:v>
                </c:pt>
                <c:pt idx="7">
                  <c:v>4919.8693685986455</c:v>
                </c:pt>
                <c:pt idx="8">
                  <c:v>4918.2148466627532</c:v>
                </c:pt>
                <c:pt idx="9">
                  <c:v>4912.990104691532</c:v>
                </c:pt>
                <c:pt idx="10">
                  <c:v>4896.5408308324122</c:v>
                </c:pt>
                <c:pt idx="11">
                  <c:v>4845.2409658417728</c:v>
                </c:pt>
                <c:pt idx="12">
                  <c:v>4689.863842662633</c:v>
                </c:pt>
                <c:pt idx="13">
                  <c:v>4258.0627355671941</c:v>
                </c:pt>
                <c:pt idx="14">
                  <c:v>3297.8723404255311</c:v>
                </c:pt>
                <c:pt idx="15">
                  <c:v>1925.0998607016702</c:v>
                </c:pt>
                <c:pt idx="16">
                  <c:v>831.09919571045521</c:v>
                </c:pt>
                <c:pt idx="17">
                  <c:v>297.13236367701887</c:v>
                </c:pt>
                <c:pt idx="18">
                  <c:v>98.008220044261705</c:v>
                </c:pt>
                <c:pt idx="19">
                  <c:v>31.420848499162364</c:v>
                </c:pt>
                <c:pt idx="20">
                  <c:v>9.9797186363197277</c:v>
                </c:pt>
              </c:numCache>
            </c:numRef>
          </c:xVal>
          <c:yVal>
            <c:numRef>
              <c:f>'CRLB for different t_exp'!$Q$10:$Q$30</c:f>
              <c:numCache>
                <c:formatCode>0.0%</c:formatCode>
                <c:ptCount val="21"/>
                <c:pt idx="0">
                  <c:v>5.8955880948354286E-2</c:v>
                </c:pt>
                <c:pt idx="1">
                  <c:v>4.4788503212630039E-2</c:v>
                </c:pt>
                <c:pt idx="2">
                  <c:v>3.4424903297775374E-2</c:v>
                </c:pt>
                <c:pt idx="3">
                  <c:v>2.7072410187041481E-2</c:v>
                </c:pt>
                <c:pt idx="4">
                  <c:v>2.2213078003562148E-2</c:v>
                </c:pt>
                <c:pt idx="5">
                  <c:v>1.9428453965869005E-2</c:v>
                </c:pt>
                <c:pt idx="6">
                  <c:v>1.8134081357731698E-2</c:v>
                </c:pt>
                <c:pt idx="7">
                  <c:v>1.7639883994937731E-2</c:v>
                </c:pt>
                <c:pt idx="8">
                  <c:v>1.7473612482116031E-2</c:v>
                </c:pt>
                <c:pt idx="9">
                  <c:v>1.7426133171558531E-2</c:v>
                </c:pt>
                <c:pt idx="10">
                  <c:v>1.7431420958895105E-2</c:v>
                </c:pt>
                <c:pt idx="11">
                  <c:v>1.7497499696060136E-2</c:v>
                </c:pt>
                <c:pt idx="12">
                  <c:v>1.7719834373656904E-2</c:v>
                </c:pt>
                <c:pt idx="13">
                  <c:v>1.8406020433312568E-2</c:v>
                </c:pt>
                <c:pt idx="14">
                  <c:v>2.0398977551644208E-2</c:v>
                </c:pt>
                <c:pt idx="15">
                  <c:v>2.5591666434572197E-2</c:v>
                </c:pt>
                <c:pt idx="16">
                  <c:v>3.7340091112431854E-2</c:v>
                </c:pt>
                <c:pt idx="17">
                  <c:v>6.0934358738225301E-2</c:v>
                </c:pt>
                <c:pt idx="18">
                  <c:v>0.1051081409931628</c:v>
                </c:pt>
                <c:pt idx="19">
                  <c:v>0.18547505790524033</c:v>
                </c:pt>
                <c:pt idx="20">
                  <c:v>0.3315699565126673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51488"/>
        <c:axId val="153752064"/>
      </c:scatterChart>
      <c:valAx>
        <c:axId val="15375148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framerate [Hz]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low"/>
        <c:crossAx val="153752064"/>
        <c:crosses val="autoZero"/>
        <c:crossBetween val="midCat"/>
      </c:valAx>
      <c:valAx>
        <c:axId val="153752064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 Error of Diameter (CRLB)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low"/>
        <c:crossAx val="15375148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125730</xdr:rowOff>
    </xdr:from>
    <xdr:to>
      <xdr:col>16</xdr:col>
      <xdr:colOff>762000</xdr:colOff>
      <xdr:row>32</xdr:row>
      <xdr:rowOff>121920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E19" sqref="E19"/>
    </sheetView>
  </sheetViews>
  <sheetFormatPr baseColWidth="10" defaultRowHeight="14.4" x14ac:dyDescent="0.3"/>
  <cols>
    <col min="4" max="4" width="14.5546875" bestFit="1" customWidth="1"/>
    <col min="5" max="5" width="21.77734375" style="5" bestFit="1" customWidth="1"/>
    <col min="6" max="6" width="40.6640625" bestFit="1" customWidth="1"/>
  </cols>
  <sheetData>
    <row r="1" spans="2:6" x14ac:dyDescent="0.3">
      <c r="F1" t="s">
        <v>10</v>
      </c>
    </row>
    <row r="2" spans="2:6" x14ac:dyDescent="0.3">
      <c r="B2" s="12" t="s">
        <v>4</v>
      </c>
      <c r="C2" s="3" t="s">
        <v>2</v>
      </c>
      <c r="D2" t="s">
        <v>0</v>
      </c>
      <c r="E2" s="1">
        <v>5.3200000000000005E-7</v>
      </c>
    </row>
    <row r="3" spans="2:6" x14ac:dyDescent="0.3">
      <c r="B3" s="12"/>
      <c r="C3" s="3" t="s">
        <v>2</v>
      </c>
      <c r="D3" t="s">
        <v>1</v>
      </c>
      <c r="E3" s="5">
        <v>1.25</v>
      </c>
    </row>
    <row r="4" spans="2:6" ht="15.6" x14ac:dyDescent="0.35">
      <c r="B4" s="12"/>
      <c r="C4" s="4" t="s">
        <v>3</v>
      </c>
      <c r="D4" t="s">
        <v>14</v>
      </c>
      <c r="E4" s="1">
        <f>0.21*E2/E3</f>
        <v>8.9376000000000006E-8</v>
      </c>
      <c r="F4" t="s">
        <v>11</v>
      </c>
    </row>
    <row r="5" spans="2:6" x14ac:dyDescent="0.3">
      <c r="B5" s="12"/>
      <c r="C5" s="4" t="s">
        <v>3</v>
      </c>
      <c r="D5" t="s">
        <v>15</v>
      </c>
      <c r="E5" s="1">
        <f>2.35*E4</f>
        <v>2.1003360000000002E-7</v>
      </c>
    </row>
    <row r="7" spans="2:6" x14ac:dyDescent="0.3">
      <c r="B7" s="12" t="s">
        <v>5</v>
      </c>
      <c r="C7" s="3" t="s">
        <v>2</v>
      </c>
      <c r="D7" t="s">
        <v>16</v>
      </c>
      <c r="E7" s="1">
        <v>5.9999999999999995E-8</v>
      </c>
    </row>
    <row r="8" spans="2:6" x14ac:dyDescent="0.3">
      <c r="B8" s="12"/>
      <c r="C8" s="3" t="s">
        <v>2</v>
      </c>
      <c r="D8" t="s">
        <v>8</v>
      </c>
      <c r="E8" s="5">
        <v>1E-3</v>
      </c>
    </row>
    <row r="9" spans="2:6" x14ac:dyDescent="0.3">
      <c r="B9" s="12"/>
      <c r="C9" s="3" t="s">
        <v>2</v>
      </c>
      <c r="D9" t="s">
        <v>6</v>
      </c>
      <c r="E9" s="5">
        <v>293</v>
      </c>
    </row>
    <row r="10" spans="2:6" x14ac:dyDescent="0.3">
      <c r="B10" s="12"/>
      <c r="C10" s="4" t="s">
        <v>3</v>
      </c>
      <c r="D10" t="s">
        <v>7</v>
      </c>
      <c r="E10" s="1">
        <v>1.3805999999999999E-23</v>
      </c>
    </row>
    <row r="11" spans="2:6" x14ac:dyDescent="0.3">
      <c r="B11" s="12"/>
      <c r="C11" s="4" t="s">
        <v>3</v>
      </c>
      <c r="D11" t="s">
        <v>17</v>
      </c>
      <c r="E11" s="1">
        <f>E10*E9/(6*PI()*E8*(E7/2))</f>
        <v>7.1534099031969463E-12</v>
      </c>
      <c r="F11" t="s">
        <v>9</v>
      </c>
    </row>
    <row r="14" spans="2:6" ht="15.6" x14ac:dyDescent="0.35">
      <c r="B14" s="12" t="s">
        <v>12</v>
      </c>
      <c r="C14" s="3" t="s">
        <v>2</v>
      </c>
      <c r="D14" t="s">
        <v>18</v>
      </c>
      <c r="E14" s="2">
        <v>2.0000000000000001E-4</v>
      </c>
      <c r="F14" s="5" t="s">
        <v>20</v>
      </c>
    </row>
    <row r="15" spans="2:6" x14ac:dyDescent="0.3">
      <c r="B15" s="12"/>
      <c r="C15" s="3" t="s">
        <v>2</v>
      </c>
      <c r="D15" t="s">
        <v>13</v>
      </c>
      <c r="E15" s="5">
        <v>2480</v>
      </c>
    </row>
    <row r="16" spans="2:6" x14ac:dyDescent="0.3">
      <c r="B16" s="12"/>
      <c r="C16" s="4" t="s">
        <v>3</v>
      </c>
      <c r="D16" s="7" t="s">
        <v>19</v>
      </c>
      <c r="E16" s="2">
        <f>1/E15</f>
        <v>4.032258064516129E-4</v>
      </c>
      <c r="F16" t="s">
        <v>21</v>
      </c>
    </row>
    <row r="17" spans="2:7" ht="15.6" x14ac:dyDescent="0.35">
      <c r="B17" s="12"/>
      <c r="C17" s="4" t="s">
        <v>3</v>
      </c>
      <c r="D17" t="s">
        <v>44</v>
      </c>
      <c r="E17" s="2">
        <f>E16-E14</f>
        <v>2.0322580645161289E-4</v>
      </c>
      <c r="F17" s="5" t="s">
        <v>45</v>
      </c>
    </row>
    <row r="18" spans="2:7" x14ac:dyDescent="0.3">
      <c r="B18" s="12"/>
      <c r="C18" s="4" t="s">
        <v>3</v>
      </c>
      <c r="D18" s="7" t="s">
        <v>30</v>
      </c>
      <c r="E18" s="5">
        <f>1/6*E14/E16</f>
        <v>8.2666666666666666E-2</v>
      </c>
      <c r="F18" t="s">
        <v>31</v>
      </c>
    </row>
    <row r="19" spans="2:7" x14ac:dyDescent="0.3">
      <c r="B19" s="12"/>
      <c r="C19" s="3" t="s">
        <v>2</v>
      </c>
      <c r="D19" s="7" t="s">
        <v>22</v>
      </c>
      <c r="E19" s="5">
        <v>787122</v>
      </c>
      <c r="F19" t="s">
        <v>23</v>
      </c>
    </row>
    <row r="20" spans="2:7" x14ac:dyDescent="0.3">
      <c r="D20" s="7"/>
    </row>
    <row r="21" spans="2:7" ht="15.6" x14ac:dyDescent="0.35">
      <c r="B21" s="12" t="s">
        <v>32</v>
      </c>
      <c r="C21" s="4" t="s">
        <v>3</v>
      </c>
      <c r="D21" s="7" t="s">
        <v>26</v>
      </c>
      <c r="E21" s="1">
        <f>E4/SQRT(E19)</f>
        <v>1.0073952261491022E-10</v>
      </c>
      <c r="F21" t="s">
        <v>25</v>
      </c>
    </row>
    <row r="22" spans="2:7" x14ac:dyDescent="0.3">
      <c r="B22" s="12"/>
      <c r="C22" s="4" t="s">
        <v>3</v>
      </c>
      <c r="D22" s="7" t="s">
        <v>27</v>
      </c>
      <c r="E22" s="1">
        <f>E21*SQRT(1+E11*E14/(E4^2))</f>
        <v>1.0938950083633663E-10</v>
      </c>
      <c r="F22" t="s">
        <v>24</v>
      </c>
    </row>
    <row r="23" spans="2:7" x14ac:dyDescent="0.3">
      <c r="B23" s="12"/>
      <c r="C23" s="4" t="s">
        <v>3</v>
      </c>
      <c r="D23" s="7" t="s">
        <v>29</v>
      </c>
      <c r="E23" s="1">
        <f>E22^2/(E11*E16)-2*E18</f>
        <v>-0.16532918484521691</v>
      </c>
      <c r="F23" t="s">
        <v>28</v>
      </c>
      <c r="G23" s="1"/>
    </row>
    <row r="24" spans="2:7" x14ac:dyDescent="0.3">
      <c r="B24" s="12"/>
      <c r="E24" s="8" t="str">
        <f>IF(E23&lt;(2/3)," quasi optimal fit possible", "not optimal fit possible")</f>
        <v xml:space="preserve"> quasi optimal fit possible</v>
      </c>
    </row>
    <row r="25" spans="2:7" ht="15.6" x14ac:dyDescent="0.35">
      <c r="B25" s="12"/>
      <c r="C25" s="4" t="s">
        <v>3</v>
      </c>
      <c r="D25" t="s">
        <v>33</v>
      </c>
      <c r="E25" s="1">
        <f>1+E4^2/(E11*E16)</f>
        <v>3.7693662631616411</v>
      </c>
      <c r="F25" t="s">
        <v>34</v>
      </c>
    </row>
    <row r="26" spans="2:7" x14ac:dyDescent="0.3">
      <c r="B26" s="12"/>
      <c r="C26" s="4" t="s">
        <v>3</v>
      </c>
      <c r="D26" t="s">
        <v>35</v>
      </c>
    </row>
  </sheetData>
  <mergeCells count="4">
    <mergeCell ref="B2:B5"/>
    <mergeCell ref="B7:B11"/>
    <mergeCell ref="B14:B19"/>
    <mergeCell ref="B21:B2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workbookViewId="0">
      <selection activeCell="C7" sqref="C7"/>
    </sheetView>
  </sheetViews>
  <sheetFormatPr baseColWidth="10" defaultRowHeight="14.4" x14ac:dyDescent="0.3"/>
  <cols>
    <col min="3" max="3" width="11.5546875" style="9"/>
    <col min="6" max="6" width="12.44140625" bestFit="1" customWidth="1"/>
  </cols>
  <sheetData>
    <row r="2" spans="2:6" x14ac:dyDescent="0.3">
      <c r="B2" t="s">
        <v>29</v>
      </c>
      <c r="C2" s="6">
        <f>Inputs!E23</f>
        <v>-0.16532918484521691</v>
      </c>
      <c r="E2" t="s">
        <v>42</v>
      </c>
      <c r="F2" s="11">
        <f>1/SQRT(1+2*$C$2)</f>
        <v>1.2222951300196552</v>
      </c>
    </row>
    <row r="3" spans="2:6" x14ac:dyDescent="0.3">
      <c r="B3" t="s">
        <v>38</v>
      </c>
      <c r="C3" s="6">
        <v>1.2</v>
      </c>
      <c r="E3" t="s">
        <v>43</v>
      </c>
      <c r="F3" s="11">
        <f>(1+$C$2)/((1+2*$C$2)^(3/2))</f>
        <v>1.5242053180845554</v>
      </c>
    </row>
    <row r="4" spans="2:6" x14ac:dyDescent="0.3">
      <c r="E4" s="7" t="s">
        <v>41</v>
      </c>
      <c r="F4" s="11">
        <f>(1-F2)/SQRT(F3-(F2)^2)</f>
        <v>-1.2791661463991237</v>
      </c>
    </row>
    <row r="5" spans="2:6" x14ac:dyDescent="0.3">
      <c r="B5" t="s">
        <v>36</v>
      </c>
      <c r="C5" s="9" t="s">
        <v>37</v>
      </c>
      <c r="D5" t="s">
        <v>37</v>
      </c>
    </row>
    <row r="6" spans="2:6" x14ac:dyDescent="0.3">
      <c r="C6" s="9" t="s">
        <v>39</v>
      </c>
      <c r="D6" t="s">
        <v>40</v>
      </c>
    </row>
    <row r="7" spans="2:6" x14ac:dyDescent="0.3">
      <c r="B7" s="10">
        <v>10</v>
      </c>
      <c r="C7" s="9">
        <f>SQRT(2/(B7-1)*(1+2*SQRT(1+2*$C$2)))</f>
        <v>0.76539982726438816</v>
      </c>
      <c r="D7" s="9">
        <f>SQRT(2/(B7-1)*(1+$F$4^2))</f>
        <v>0.76539982726438616</v>
      </c>
    </row>
    <row r="8" spans="2:6" x14ac:dyDescent="0.3">
      <c r="B8" s="10">
        <f>$C$3*B7</f>
        <v>12</v>
      </c>
      <c r="C8" s="9">
        <f t="shared" ref="C8:C57" si="0">SQRT(2/(B8-1)*(1+2*SQRT(1+2*$C$2)))</f>
        <v>0.69233019317422118</v>
      </c>
      <c r="D8" s="9">
        <f t="shared" ref="D8:D57" si="1">SQRT(2/(B8-1)*(1+$F$4^2))</f>
        <v>0.69233019317421929</v>
      </c>
    </row>
    <row r="9" spans="2:6" x14ac:dyDescent="0.3">
      <c r="B9" s="10">
        <f t="shared" ref="B9:B57" si="2">$C$3*B8</f>
        <v>14.399999999999999</v>
      </c>
      <c r="C9" s="9">
        <f t="shared" si="0"/>
        <v>0.62727389695811098</v>
      </c>
      <c r="D9" s="9">
        <f t="shared" si="1"/>
        <v>0.62727389695810931</v>
      </c>
    </row>
    <row r="10" spans="2:6" x14ac:dyDescent="0.3">
      <c r="B10" s="10">
        <f t="shared" si="2"/>
        <v>17.279999999999998</v>
      </c>
      <c r="C10" s="9">
        <f t="shared" si="0"/>
        <v>0.56909191319382169</v>
      </c>
      <c r="D10" s="9">
        <f t="shared" si="1"/>
        <v>0.56909191319382024</v>
      </c>
    </row>
    <row r="11" spans="2:6" x14ac:dyDescent="0.3">
      <c r="B11" s="10">
        <f t="shared" si="2"/>
        <v>20.735999999999997</v>
      </c>
      <c r="C11" s="9">
        <f t="shared" si="0"/>
        <v>0.51686847738258868</v>
      </c>
      <c r="D11" s="9">
        <f t="shared" si="1"/>
        <v>0.51686847738258734</v>
      </c>
    </row>
    <row r="12" spans="2:6" x14ac:dyDescent="0.3">
      <c r="B12" s="10">
        <f t="shared" si="2"/>
        <v>24.883199999999995</v>
      </c>
      <c r="C12" s="9">
        <f t="shared" si="0"/>
        <v>0.46985446345619036</v>
      </c>
      <c r="D12" s="9">
        <f t="shared" si="1"/>
        <v>0.46985446345618909</v>
      </c>
    </row>
    <row r="13" spans="2:6" x14ac:dyDescent="0.3">
      <c r="B13" s="10">
        <f t="shared" si="2"/>
        <v>29.859839999999991</v>
      </c>
      <c r="C13" s="9">
        <f t="shared" si="0"/>
        <v>0.42742769147289206</v>
      </c>
      <c r="D13" s="9">
        <f t="shared" si="1"/>
        <v>0.42742769147289084</v>
      </c>
    </row>
    <row r="14" spans="2:6" x14ac:dyDescent="0.3">
      <c r="B14" s="10">
        <f t="shared" si="2"/>
        <v>35.831807999999988</v>
      </c>
      <c r="C14" s="9">
        <f t="shared" si="0"/>
        <v>0.38906450007205384</v>
      </c>
      <c r="D14" s="9">
        <f t="shared" si="1"/>
        <v>0.38906450007205279</v>
      </c>
    </row>
    <row r="15" spans="2:6" x14ac:dyDescent="0.3">
      <c r="B15" s="10">
        <f t="shared" si="2"/>
        <v>42.998169599999983</v>
      </c>
      <c r="C15" s="9">
        <f t="shared" si="0"/>
        <v>0.35431899308560905</v>
      </c>
      <c r="D15" s="9">
        <f t="shared" si="1"/>
        <v>0.3543189930856081</v>
      </c>
    </row>
    <row r="16" spans="2:6" x14ac:dyDescent="0.3">
      <c r="B16" s="10">
        <f t="shared" si="2"/>
        <v>51.597803519999978</v>
      </c>
      <c r="C16" s="9">
        <f t="shared" si="0"/>
        <v>0.32280762341742841</v>
      </c>
      <c r="D16" s="9">
        <f t="shared" si="1"/>
        <v>0.32280762341742752</v>
      </c>
    </row>
    <row r="17" spans="2:4" x14ac:dyDescent="0.3">
      <c r="B17" s="10">
        <f t="shared" si="2"/>
        <v>61.917364223999968</v>
      </c>
      <c r="C17" s="9">
        <f t="shared" si="0"/>
        <v>0.29419755737323755</v>
      </c>
      <c r="D17" s="9">
        <f t="shared" si="1"/>
        <v>0.29419755737323677</v>
      </c>
    </row>
    <row r="18" spans="2:4" x14ac:dyDescent="0.3">
      <c r="B18" s="10">
        <f t="shared" si="2"/>
        <v>74.300837068799964</v>
      </c>
      <c r="C18" s="9">
        <f t="shared" si="0"/>
        <v>0.26819776076344271</v>
      </c>
      <c r="D18" s="9">
        <f t="shared" si="1"/>
        <v>0.26819776076344198</v>
      </c>
    </row>
    <row r="19" spans="2:4" x14ac:dyDescent="0.3">
      <c r="B19" s="10">
        <f t="shared" si="2"/>
        <v>89.16100448255996</v>
      </c>
      <c r="C19" s="9">
        <f t="shared" si="0"/>
        <v>0.24455207364485609</v>
      </c>
      <c r="D19" s="9">
        <f t="shared" si="1"/>
        <v>0.24455207364485543</v>
      </c>
    </row>
    <row r="20" spans="2:4" x14ac:dyDescent="0.3">
      <c r="B20" s="10">
        <f t="shared" si="2"/>
        <v>106.99320537907195</v>
      </c>
      <c r="C20" s="9">
        <f t="shared" si="0"/>
        <v>0.22303375775028567</v>
      </c>
      <c r="D20" s="9">
        <f t="shared" si="1"/>
        <v>0.22303375775028506</v>
      </c>
    </row>
    <row r="21" spans="2:4" x14ac:dyDescent="0.3">
      <c r="B21" s="10">
        <f t="shared" si="2"/>
        <v>128.39184645488635</v>
      </c>
      <c r="C21" s="9">
        <f t="shared" si="0"/>
        <v>0.20344114824000803</v>
      </c>
      <c r="D21" s="9">
        <f t="shared" si="1"/>
        <v>0.20344114824000745</v>
      </c>
    </row>
    <row r="22" spans="2:4" x14ac:dyDescent="0.3">
      <c r="B22" s="10">
        <f t="shared" si="2"/>
        <v>154.07021574586361</v>
      </c>
      <c r="C22" s="9">
        <f t="shared" si="0"/>
        <v>0.18559414336314842</v>
      </c>
      <c r="D22" s="9">
        <f t="shared" si="1"/>
        <v>0.18559414336314792</v>
      </c>
    </row>
    <row r="23" spans="2:4" x14ac:dyDescent="0.3">
      <c r="B23" s="10">
        <f t="shared" si="2"/>
        <v>184.88425889503631</v>
      </c>
      <c r="C23" s="9">
        <f t="shared" si="0"/>
        <v>0.1693313370909095</v>
      </c>
      <c r="D23" s="9">
        <f t="shared" si="1"/>
        <v>0.16933133709090906</v>
      </c>
    </row>
    <row r="24" spans="2:4" x14ac:dyDescent="0.3">
      <c r="B24" s="10">
        <f t="shared" si="2"/>
        <v>221.86111067404357</v>
      </c>
      <c r="C24" s="9">
        <f t="shared" si="0"/>
        <v>0.15450765055177426</v>
      </c>
      <c r="D24" s="9">
        <f t="shared" si="1"/>
        <v>0.15450765055177385</v>
      </c>
    </row>
    <row r="25" spans="2:4" x14ac:dyDescent="0.3">
      <c r="B25" s="10">
        <f t="shared" si="2"/>
        <v>266.23333280885225</v>
      </c>
      <c r="C25" s="9">
        <f t="shared" si="0"/>
        <v>0.1409923545855484</v>
      </c>
      <c r="D25" s="9">
        <f t="shared" si="1"/>
        <v>0.14099235458554801</v>
      </c>
    </row>
    <row r="26" spans="2:4" x14ac:dyDescent="0.3">
      <c r="B26" s="10">
        <f t="shared" si="2"/>
        <v>319.47999937062269</v>
      </c>
      <c r="C26" s="9">
        <f t="shared" si="0"/>
        <v>0.12866740223356618</v>
      </c>
      <c r="D26" s="9">
        <f t="shared" si="1"/>
        <v>0.12866740223356585</v>
      </c>
    </row>
    <row r="27" spans="2:4" x14ac:dyDescent="0.3">
      <c r="B27" s="10">
        <f t="shared" si="2"/>
        <v>383.37599924474722</v>
      </c>
      <c r="C27" s="9">
        <f t="shared" si="0"/>
        <v>0.11742600941351472</v>
      </c>
      <c r="D27" s="9">
        <f t="shared" si="1"/>
        <v>0.1174260094135144</v>
      </c>
    </row>
    <row r="28" spans="2:4" x14ac:dyDescent="0.3">
      <c r="B28" s="10">
        <f t="shared" si="2"/>
        <v>460.05119909369665</v>
      </c>
      <c r="C28" s="9">
        <f t="shared" si="0"/>
        <v>0.10717143639857299</v>
      </c>
      <c r="D28" s="9">
        <f t="shared" si="1"/>
        <v>0.1071714363985727</v>
      </c>
    </row>
    <row r="29" spans="2:4" x14ac:dyDescent="0.3">
      <c r="B29" s="10">
        <f t="shared" si="2"/>
        <v>552.06143891243596</v>
      </c>
      <c r="C29" s="9">
        <f t="shared" si="0"/>
        <v>9.7815933434287086E-2</v>
      </c>
      <c r="D29" s="9">
        <f t="shared" si="1"/>
        <v>9.7815933434286823E-2</v>
      </c>
    </row>
    <row r="30" spans="2:4" x14ac:dyDescent="0.3">
      <c r="B30" s="10">
        <f t="shared" si="2"/>
        <v>662.47372669492313</v>
      </c>
      <c r="C30" s="9">
        <f t="shared" si="0"/>
        <v>8.9279821873056317E-2</v>
      </c>
      <c r="D30" s="9">
        <f t="shared" si="1"/>
        <v>8.9279821873056081E-2</v>
      </c>
    </row>
    <row r="31" spans="2:4" x14ac:dyDescent="0.3">
      <c r="B31" s="10">
        <f t="shared" si="2"/>
        <v>794.96847203390769</v>
      </c>
      <c r="C31" s="9">
        <f t="shared" si="0"/>
        <v>8.1490688291969038E-2</v>
      </c>
      <c r="D31" s="9">
        <f t="shared" si="1"/>
        <v>8.149068829196883E-2</v>
      </c>
    </row>
    <row r="32" spans="2:4" x14ac:dyDescent="0.3">
      <c r="B32" s="10">
        <f t="shared" si="2"/>
        <v>953.9621664406892</v>
      </c>
      <c r="C32" s="9">
        <f t="shared" si="0"/>
        <v>7.4382673694115595E-2</v>
      </c>
      <c r="D32" s="9">
        <f t="shared" si="1"/>
        <v>7.4382673694115387E-2</v>
      </c>
    </row>
    <row r="33" spans="2:4" x14ac:dyDescent="0.3">
      <c r="B33" s="10">
        <f t="shared" si="2"/>
        <v>1144.7545997288271</v>
      </c>
      <c r="C33" s="9">
        <f t="shared" si="0"/>
        <v>6.7895843446323031E-2</v>
      </c>
      <c r="D33" s="9">
        <f t="shared" si="1"/>
        <v>6.7895843446322851E-2</v>
      </c>
    </row>
    <row r="34" spans="2:4" x14ac:dyDescent="0.3">
      <c r="B34" s="10">
        <f t="shared" si="2"/>
        <v>1373.7055196745926</v>
      </c>
      <c r="C34" s="9">
        <f t="shared" si="0"/>
        <v>6.1975626348299132E-2</v>
      </c>
      <c r="D34" s="9">
        <f t="shared" si="1"/>
        <v>6.1975626348298958E-2</v>
      </c>
    </row>
    <row r="35" spans="2:4" x14ac:dyDescent="0.3">
      <c r="B35" s="10">
        <f t="shared" si="2"/>
        <v>1648.4466236095111</v>
      </c>
      <c r="C35" s="9">
        <f t="shared" si="0"/>
        <v>5.6572313359024164E-2</v>
      </c>
      <c r="D35" s="9">
        <f t="shared" si="1"/>
        <v>5.6572313359024018E-2</v>
      </c>
    </row>
    <row r="36" spans="2:4" x14ac:dyDescent="0.3">
      <c r="B36" s="10">
        <f t="shared" si="2"/>
        <v>1978.1359483314131</v>
      </c>
      <c r="C36" s="9">
        <f t="shared" si="0"/>
        <v>5.1640608173875502E-2</v>
      </c>
      <c r="D36" s="9">
        <f t="shared" si="1"/>
        <v>5.1640608173875363E-2</v>
      </c>
    </row>
    <row r="37" spans="2:4" x14ac:dyDescent="0.3">
      <c r="B37" s="10">
        <f t="shared" si="2"/>
        <v>2373.7631379976956</v>
      </c>
      <c r="C37" s="9">
        <f t="shared" si="0"/>
        <v>4.7139223160735724E-2</v>
      </c>
      <c r="D37" s="9">
        <f t="shared" si="1"/>
        <v>4.7139223160735592E-2</v>
      </c>
    </row>
    <row r="38" spans="2:4" x14ac:dyDescent="0.3">
      <c r="B38" s="10">
        <f t="shared" si="2"/>
        <v>2848.5157655972348</v>
      </c>
      <c r="C38" s="9">
        <f t="shared" si="0"/>
        <v>4.3030515207874494E-2</v>
      </c>
      <c r="D38" s="9">
        <f t="shared" si="1"/>
        <v>4.3030515207874376E-2</v>
      </c>
    </row>
    <row r="39" spans="2:4" x14ac:dyDescent="0.3">
      <c r="B39" s="10">
        <f t="shared" si="2"/>
        <v>3418.2189187166819</v>
      </c>
      <c r="C39" s="9">
        <f t="shared" si="0"/>
        <v>3.9280156872911594E-2</v>
      </c>
      <c r="D39" s="9">
        <f t="shared" si="1"/>
        <v>3.928015687291149E-2</v>
      </c>
    </row>
    <row r="40" spans="2:4" x14ac:dyDescent="0.3">
      <c r="B40" s="10">
        <f t="shared" si="2"/>
        <v>4101.8627024600182</v>
      </c>
      <c r="C40" s="9">
        <f t="shared" si="0"/>
        <v>3.5856838897676747E-2</v>
      </c>
      <c r="D40" s="9">
        <f t="shared" si="1"/>
        <v>3.585683889767665E-2</v>
      </c>
    </row>
    <row r="41" spans="2:4" x14ac:dyDescent="0.3">
      <c r="B41" s="10">
        <f t="shared" si="2"/>
        <v>4922.2352429520215</v>
      </c>
      <c r="C41" s="9">
        <f t="shared" si="0"/>
        <v>3.2732000703957827E-2</v>
      </c>
      <c r="D41" s="9">
        <f t="shared" si="1"/>
        <v>3.2732000703957737E-2</v>
      </c>
    </row>
    <row r="42" spans="2:4" x14ac:dyDescent="0.3">
      <c r="B42" s="10">
        <f t="shared" si="2"/>
        <v>5906.6822915424254</v>
      </c>
      <c r="C42" s="9">
        <f t="shared" si="0"/>
        <v>2.987958593715391E-2</v>
      </c>
      <c r="D42" s="9">
        <f t="shared" si="1"/>
        <v>2.987958593715383E-2</v>
      </c>
    </row>
    <row r="43" spans="2:4" x14ac:dyDescent="0.3">
      <c r="B43" s="10">
        <f t="shared" si="2"/>
        <v>7088.0187498509104</v>
      </c>
      <c r="C43" s="9">
        <f t="shared" si="0"/>
        <v>2.7275820499514703E-2</v>
      </c>
      <c r="D43" s="9">
        <f t="shared" si="1"/>
        <v>2.7275820499514627E-2</v>
      </c>
    </row>
    <row r="44" spans="2:4" x14ac:dyDescent="0.3">
      <c r="B44" s="10">
        <f t="shared" si="2"/>
        <v>8505.6224998210928</v>
      </c>
      <c r="C44" s="9">
        <f t="shared" si="0"/>
        <v>2.4899010827922455E-2</v>
      </c>
      <c r="D44" s="9">
        <f t="shared" si="1"/>
        <v>2.489901082792239E-2</v>
      </c>
    </row>
    <row r="45" spans="2:4" x14ac:dyDescent="0.3">
      <c r="B45" s="10">
        <f t="shared" si="2"/>
        <v>10206.746999785311</v>
      </c>
      <c r="C45" s="9">
        <f t="shared" si="0"/>
        <v>2.2729360435373037E-2</v>
      </c>
      <c r="D45" s="9">
        <f t="shared" si="1"/>
        <v>2.2729360435372978E-2</v>
      </c>
    </row>
    <row r="46" spans="2:4" x14ac:dyDescent="0.3">
      <c r="B46" s="10">
        <f t="shared" si="2"/>
        <v>12248.096399742373</v>
      </c>
      <c r="C46" s="9">
        <f t="shared" si="0"/>
        <v>2.074880295998344E-2</v>
      </c>
      <c r="D46" s="9">
        <f t="shared" si="1"/>
        <v>2.0748802959983388E-2</v>
      </c>
    </row>
    <row r="47" spans="2:4" x14ac:dyDescent="0.3">
      <c r="B47" s="10">
        <f t="shared" si="2"/>
        <v>14697.715679690848</v>
      </c>
      <c r="C47" s="9">
        <f t="shared" si="0"/>
        <v>1.894085015792427E-2</v>
      </c>
      <c r="D47" s="9">
        <f t="shared" si="1"/>
        <v>1.8940850157924221E-2</v>
      </c>
    </row>
    <row r="48" spans="2:4" x14ac:dyDescent="0.3">
      <c r="B48" s="10">
        <f t="shared" si="2"/>
        <v>17637.258815629015</v>
      </c>
      <c r="C48" s="9">
        <f t="shared" si="0"/>
        <v>1.7290453442963934E-2</v>
      </c>
      <c r="D48" s="9">
        <f t="shared" si="1"/>
        <v>1.7290453442963889E-2</v>
      </c>
    </row>
    <row r="49" spans="2:4" x14ac:dyDescent="0.3">
      <c r="B49" s="10">
        <f t="shared" si="2"/>
        <v>21164.710578754817</v>
      </c>
      <c r="C49" s="9">
        <f t="shared" si="0"/>
        <v>1.5783877719895055E-2</v>
      </c>
      <c r="D49" s="9">
        <f t="shared" si="1"/>
        <v>1.5783877719895017E-2</v>
      </c>
    </row>
    <row r="50" spans="2:4" x14ac:dyDescent="0.3">
      <c r="B50" s="10">
        <f t="shared" si="2"/>
        <v>25397.652694505781</v>
      </c>
      <c r="C50" s="9">
        <f t="shared" si="0"/>
        <v>1.4408586385619765E-2</v>
      </c>
      <c r="D50" s="9">
        <f t="shared" si="1"/>
        <v>1.4408586385619726E-2</v>
      </c>
    </row>
    <row r="51" spans="2:4" x14ac:dyDescent="0.3">
      <c r="B51" s="10">
        <f t="shared" si="2"/>
        <v>30477.183233406937</v>
      </c>
      <c r="C51" s="9">
        <f t="shared" si="0"/>
        <v>1.3153136482991195E-2</v>
      </c>
      <c r="D51" s="9">
        <f t="shared" si="1"/>
        <v>1.315313648299116E-2</v>
      </c>
    </row>
    <row r="52" spans="2:4" x14ac:dyDescent="0.3">
      <c r="B52" s="10">
        <f t="shared" si="2"/>
        <v>36572.619880088321</v>
      </c>
      <c r="C52" s="9">
        <f t="shared" si="0"/>
        <v>1.2007083090966663E-2</v>
      </c>
      <c r="D52" s="9">
        <f t="shared" si="1"/>
        <v>1.200708309096663E-2</v>
      </c>
    </row>
    <row r="53" spans="2:4" x14ac:dyDescent="0.3">
      <c r="B53" s="10">
        <f t="shared" si="2"/>
        <v>43887.143856105984</v>
      </c>
      <c r="C53" s="9">
        <f t="shared" si="0"/>
        <v>1.0960892122103437E-2</v>
      </c>
      <c r="D53" s="9">
        <f t="shared" si="1"/>
        <v>1.0960892122103407E-2</v>
      </c>
    </row>
    <row r="54" spans="2:4" x14ac:dyDescent="0.3">
      <c r="B54" s="10">
        <f t="shared" si="2"/>
        <v>52664.572627327179</v>
      </c>
      <c r="C54" s="9">
        <f t="shared" si="0"/>
        <v>1.0005860776454411E-2</v>
      </c>
      <c r="D54" s="9">
        <f t="shared" si="1"/>
        <v>1.0005860776454384E-2</v>
      </c>
    </row>
    <row r="55" spans="2:4" x14ac:dyDescent="0.3">
      <c r="B55" s="10">
        <f t="shared" si="2"/>
        <v>63197.487152792615</v>
      </c>
      <c r="C55" s="9">
        <f t="shared" si="0"/>
        <v>9.134044970759923E-3</v>
      </c>
      <c r="D55" s="9">
        <f t="shared" si="1"/>
        <v>9.1340449707598987E-3</v>
      </c>
    </row>
    <row r="56" spans="2:4" x14ac:dyDescent="0.3">
      <c r="B56" s="10">
        <f t="shared" si="2"/>
        <v>75836.984583351135</v>
      </c>
      <c r="C56" s="9">
        <f t="shared" si="0"/>
        <v>8.3381931245295263E-3</v>
      </c>
      <c r="D56" s="9">
        <f t="shared" si="1"/>
        <v>8.3381931245295037E-3</v>
      </c>
    </row>
    <row r="57" spans="2:4" x14ac:dyDescent="0.3">
      <c r="B57" s="10">
        <f t="shared" si="2"/>
        <v>91004.381500021365</v>
      </c>
      <c r="C57" s="9">
        <f t="shared" si="0"/>
        <v>7.6116857410393696E-3</v>
      </c>
      <c r="D57" s="9">
        <f t="shared" si="1"/>
        <v>7.6116857410393497E-3</v>
      </c>
    </row>
    <row r="58" spans="2:4" x14ac:dyDescent="0.3">
      <c r="B58" s="10"/>
    </row>
    <row r="59" spans="2:4" x14ac:dyDescent="0.3">
      <c r="B59" s="10"/>
    </row>
    <row r="60" spans="2:4" x14ac:dyDescent="0.3">
      <c r="B60" s="10"/>
    </row>
    <row r="61" spans="2:4" x14ac:dyDescent="0.3">
      <c r="B61" s="10"/>
    </row>
    <row r="62" spans="2:4" x14ac:dyDescent="0.3">
      <c r="B62" s="10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2" sqref="B2"/>
    </sheetView>
  </sheetViews>
  <sheetFormatPr baseColWidth="10" defaultRowHeight="14.4" x14ac:dyDescent="0.3"/>
  <cols>
    <col min="1" max="1" width="11.5546875" style="13"/>
    <col min="2" max="3" width="11.5546875" style="1"/>
    <col min="4" max="4" width="11.5546875" style="5"/>
  </cols>
  <sheetData>
    <row r="1" spans="1:19" ht="15.6" x14ac:dyDescent="0.35">
      <c r="A1" s="13" t="s">
        <v>47</v>
      </c>
      <c r="B1" s="1">
        <f>10^(1/2)</f>
        <v>3.1622776601683795</v>
      </c>
      <c r="F1" t="s">
        <v>48</v>
      </c>
      <c r="G1" t="s">
        <v>18</v>
      </c>
      <c r="H1">
        <f>Inputs!E14</f>
        <v>2.0000000000000001E-4</v>
      </c>
    </row>
    <row r="2" spans="1:19" ht="15.6" x14ac:dyDescent="0.35">
      <c r="G2" t="s">
        <v>44</v>
      </c>
      <c r="H2">
        <f>Inputs!E17</f>
        <v>2.0322580645161289E-4</v>
      </c>
    </row>
    <row r="3" spans="1:19" x14ac:dyDescent="0.3">
      <c r="G3" t="s">
        <v>22</v>
      </c>
      <c r="H3">
        <f>Inputs!E19</f>
        <v>787122</v>
      </c>
    </row>
    <row r="4" spans="1:19" ht="15.6" x14ac:dyDescent="0.35">
      <c r="G4" t="s">
        <v>14</v>
      </c>
      <c r="H4" s="1">
        <f>Inputs!$E$4</f>
        <v>8.9376000000000006E-8</v>
      </c>
    </row>
    <row r="5" spans="1:19" x14ac:dyDescent="0.3">
      <c r="G5" t="s">
        <v>17</v>
      </c>
      <c r="H5" s="1">
        <f>Inputs!E11</f>
        <v>7.1534099031969463E-12</v>
      </c>
    </row>
    <row r="7" spans="1:19" x14ac:dyDescent="0.3">
      <c r="J7" s="24" t="s">
        <v>50</v>
      </c>
      <c r="K7" s="24"/>
      <c r="L7" s="24" t="s">
        <v>51</v>
      </c>
      <c r="M7" s="24"/>
      <c r="N7" s="24" t="s">
        <v>52</v>
      </c>
      <c r="O7" s="24"/>
      <c r="P7" s="24" t="s">
        <v>53</v>
      </c>
      <c r="Q7" s="24"/>
      <c r="R7" s="24" t="s">
        <v>53</v>
      </c>
      <c r="S7" s="24"/>
    </row>
    <row r="8" spans="1:19" ht="15.6" x14ac:dyDescent="0.35">
      <c r="A8" s="13" t="s">
        <v>46</v>
      </c>
      <c r="B8" t="s">
        <v>18</v>
      </c>
      <c r="C8" s="7" t="s">
        <v>19</v>
      </c>
      <c r="D8" s="19" t="s">
        <v>49</v>
      </c>
      <c r="E8" t="s">
        <v>22</v>
      </c>
      <c r="F8" s="7" t="s">
        <v>26</v>
      </c>
      <c r="G8" s="7" t="s">
        <v>27</v>
      </c>
      <c r="H8" s="7" t="s">
        <v>30</v>
      </c>
      <c r="I8" s="7" t="s">
        <v>29</v>
      </c>
      <c r="J8" s="7" t="s">
        <v>36</v>
      </c>
      <c r="K8" s="7" t="s">
        <v>32</v>
      </c>
      <c r="L8" s="7" t="s">
        <v>36</v>
      </c>
      <c r="M8" s="7" t="s">
        <v>32</v>
      </c>
      <c r="N8" s="7" t="s">
        <v>36</v>
      </c>
      <c r="O8" s="7" t="s">
        <v>32</v>
      </c>
      <c r="P8" s="7" t="s">
        <v>36</v>
      </c>
      <c r="Q8" s="7" t="s">
        <v>32</v>
      </c>
      <c r="R8" s="7" t="s">
        <v>54</v>
      </c>
      <c r="S8" s="7" t="s">
        <v>32</v>
      </c>
    </row>
    <row r="9" spans="1:19" s="15" customFormat="1" x14ac:dyDescent="0.3">
      <c r="A9" s="14">
        <v>1</v>
      </c>
      <c r="B9" s="25">
        <f>H1</f>
        <v>2.0000000000000001E-4</v>
      </c>
      <c r="C9" s="17">
        <f>B9+$H$2</f>
        <v>4.032258064516129E-4</v>
      </c>
      <c r="D9" s="20">
        <f>1/C9</f>
        <v>2480</v>
      </c>
      <c r="E9" s="20">
        <f>H3</f>
        <v>787122</v>
      </c>
      <c r="F9" s="17">
        <f>$H$4/SQRT(E9)</f>
        <v>1.0073952261491022E-10</v>
      </c>
      <c r="G9" s="17">
        <f>F9*SQRT(1+$H$5*B9/($H$4^2))</f>
        <v>1.0938950083633663E-10</v>
      </c>
      <c r="H9" s="16">
        <f>1/6*B9/C9</f>
        <v>8.2666666666666666E-2</v>
      </c>
      <c r="I9" s="17">
        <f>G9^2/($H$5*C9)-2*H9</f>
        <v>-0.16532918484521691</v>
      </c>
      <c r="J9" s="15">
        <v>20</v>
      </c>
      <c r="K9" s="27">
        <f>1/SQRT(J9-1)*SQRT(2*(1+2*SQRT(1+2*$I9)))</f>
        <v>0.5267842892287824</v>
      </c>
      <c r="L9" s="15">
        <v>100</v>
      </c>
      <c r="M9" s="27">
        <f>1/SQRT(L9-1)*SQRT(2*(1+2*SQRT(1+2*$I9)))</f>
        <v>0.2307767310580737</v>
      </c>
      <c r="N9" s="15">
        <v>500</v>
      </c>
      <c r="O9" s="27">
        <f>1/SQRT(N9-1)*SQRT(2*(1+2*SQRT(1+2*$I9)))</f>
        <v>0.10279200607732683</v>
      </c>
      <c r="P9" s="15">
        <v>10000</v>
      </c>
      <c r="Q9" s="27">
        <f>1/SQRT(P9-1)*SQRT(2*(1+2*SQRT(1+2*$I9)))</f>
        <v>2.2963143003787198E-2</v>
      </c>
      <c r="R9" s="15">
        <v>1000</v>
      </c>
      <c r="S9" s="27">
        <f>1/SQRT(R9-1)*SQRT(2*(1+2*SQRT(1+2*$I9)))</f>
        <v>7.2648536599557556E-2</v>
      </c>
    </row>
    <row r="10" spans="1:19" x14ac:dyDescent="0.3">
      <c r="A10" s="13">
        <f>B10/$B$9</f>
        <v>4.9999999999999998E-8</v>
      </c>
      <c r="B10" s="26">
        <v>9.9999999999999994E-12</v>
      </c>
      <c r="C10" s="18">
        <f>B10+$H$2</f>
        <v>2.0322581645161288E-4</v>
      </c>
      <c r="D10" s="21">
        <f>1/C10</f>
        <v>4920.6346785084525</v>
      </c>
      <c r="E10" s="21">
        <f>$E$9*A10</f>
        <v>3.9356099999999998E-2</v>
      </c>
      <c r="F10" s="18">
        <f>$H$4/SQRT(E10)</f>
        <v>4.5052084117563325E-7</v>
      </c>
      <c r="G10" s="18">
        <f>F10*SQRT(1+$H$5*B10/($H$4^2))</f>
        <v>4.5052084319286668E-7</v>
      </c>
      <c r="H10" s="23">
        <f t="shared" ref="H10:H25" si="0">1/6*B10/C10</f>
        <v>8.2010577975140877E-9</v>
      </c>
      <c r="I10" s="18">
        <f>G10^2/($H$5*C10)-2*H10</f>
        <v>139.61683474360959</v>
      </c>
      <c r="J10" s="21">
        <f>J$9*$C$9/$C10</f>
        <v>39.682537729906876</v>
      </c>
      <c r="K10" s="28">
        <f t="shared" ref="K10:K30" si="1">1/SQRT(J10-1)*SQRT(2*(1+2*SQRT(1+2*$I10)))</f>
        <v>1.3351911064236686</v>
      </c>
      <c r="L10" s="21">
        <f>L$9*$C$9/$C10</f>
        <v>198.41268864953437</v>
      </c>
      <c r="M10" s="28">
        <f t="shared" ref="M10:M30" si="2">1/SQRT(L10-1)*SQRT(2*(1+2*SQRT(1+2*$I10)))</f>
        <v>0.59103524269790697</v>
      </c>
      <c r="N10" s="21">
        <f>N$9*$C$9/$C10</f>
        <v>992.0634432476719</v>
      </c>
      <c r="O10" s="28">
        <f t="shared" ref="O10:O30" si="3">1/SQRT(N10-1)*SQRT(2*(1+2*SQRT(1+2*$I10)))</f>
        <v>0.26378505185653606</v>
      </c>
      <c r="P10" s="21">
        <f>P$9*$C$9/$C10</f>
        <v>19841.268864953439</v>
      </c>
      <c r="Q10" s="28">
        <f t="shared" ref="Q10:S30" si="4">1/SQRT(P10-1)*SQRT(2*(1+2*SQRT(1+2*$I10)))</f>
        <v>5.8955880948354286E-2</v>
      </c>
      <c r="R10" s="21">
        <f>R9</f>
        <v>1000</v>
      </c>
      <c r="S10" s="28">
        <f t="shared" si="4"/>
        <v>0.26273514210852766</v>
      </c>
    </row>
    <row r="11" spans="1:19" x14ac:dyDescent="0.3">
      <c r="A11" s="13">
        <f t="shared" ref="A11:A30" si="5">B11/$B$9</f>
        <v>1.5811388300841896E-7</v>
      </c>
      <c r="B11" s="26">
        <f>$B$1*B10</f>
        <v>3.1622776601683794E-11</v>
      </c>
      <c r="C11" s="18">
        <f t="shared" ref="C11:C30" si="6">B11+$H$2</f>
        <v>2.032258380743895E-4</v>
      </c>
      <c r="D11" s="21">
        <f t="shared" ref="D11:D30" si="7">1/C11</f>
        <v>4920.6341549638801</v>
      </c>
      <c r="E11" s="21">
        <f>$E$9*A11</f>
        <v>0.12445491582135275</v>
      </c>
      <c r="F11" s="18">
        <f t="shared" ref="F10:F30" si="8">$H$4/SQRT(E11)</f>
        <v>2.5334648685257639E-7</v>
      </c>
      <c r="G11" s="18">
        <f>F11*SQRT(1+$H$5*B11/($H$4^2))</f>
        <v>2.533464904397812E-7</v>
      </c>
      <c r="H11" s="23">
        <f t="shared" si="0"/>
        <v>2.5934019103506316E-8</v>
      </c>
      <c r="I11" s="18">
        <f t="shared" ref="I11:I25" si="9">G11^2/($H$5*C11)-2*H11</f>
        <v>44.150715860004397</v>
      </c>
      <c r="J11" s="21">
        <f>J$9*$C$9/$C11</f>
        <v>39.682533507773229</v>
      </c>
      <c r="K11" s="28">
        <f t="shared" si="1"/>
        <v>1.0143383540312148</v>
      </c>
      <c r="L11" s="21">
        <f>L$9*$C$9/$C11</f>
        <v>198.41266753886615</v>
      </c>
      <c r="M11" s="28">
        <f t="shared" si="2"/>
        <v>0.44900667155842605</v>
      </c>
      <c r="N11" s="21">
        <f>N$9*$C$9/$C11</f>
        <v>992.0633376943307</v>
      </c>
      <c r="O11" s="28">
        <f t="shared" si="3"/>
        <v>0.20039625314855972</v>
      </c>
      <c r="P11" s="21">
        <f>P$9*$C$9/$C11</f>
        <v>19841.266753886615</v>
      </c>
      <c r="Q11" s="28">
        <f t="shared" si="4"/>
        <v>4.4788503212630039E-2</v>
      </c>
      <c r="R11" s="21">
        <f t="shared" ref="R11:R30" si="10">R10</f>
        <v>1000</v>
      </c>
      <c r="S11" s="28">
        <f t="shared" si="4"/>
        <v>0.19959863106204476</v>
      </c>
    </row>
    <row r="12" spans="1:19" x14ac:dyDescent="0.3">
      <c r="A12" s="13">
        <f t="shared" si="5"/>
        <v>4.9999999999999998E-7</v>
      </c>
      <c r="B12" s="26">
        <f t="shared" ref="B12:B30" si="11">$B$1*B11</f>
        <v>1E-10</v>
      </c>
      <c r="C12" s="18">
        <f t="shared" si="6"/>
        <v>2.032259064516129E-4</v>
      </c>
      <c r="D12" s="21">
        <f t="shared" si="7"/>
        <v>4920.6324993713097</v>
      </c>
      <c r="E12" s="21">
        <f>$E$9*A12</f>
        <v>0.39356099999999999</v>
      </c>
      <c r="F12" s="18">
        <f t="shared" si="8"/>
        <v>1.4246719914899715E-7</v>
      </c>
      <c r="G12" s="18">
        <f>F12*SQRT(1+$H$5*B12/($H$4^2))</f>
        <v>1.4246720552804948E-7</v>
      </c>
      <c r="H12" s="23">
        <f t="shared" si="0"/>
        <v>8.2010541656188505E-8</v>
      </c>
      <c r="I12" s="18">
        <f t="shared" si="9"/>
        <v>13.961678254208001</v>
      </c>
      <c r="J12" s="21">
        <f>J$9*$C$9/$C12</f>
        <v>39.682520156220242</v>
      </c>
      <c r="K12" s="28">
        <f t="shared" si="1"/>
        <v>0.77963087389949415</v>
      </c>
      <c r="L12" s="21">
        <f>L$9*$C$9/$C12</f>
        <v>198.41260078110119</v>
      </c>
      <c r="M12" s="28">
        <f t="shared" si="2"/>
        <v>0.34511113684944522</v>
      </c>
      <c r="N12" s="21">
        <f>N$9*$C$9/$C12</f>
        <v>992.06300390550598</v>
      </c>
      <c r="O12" s="28">
        <f t="shared" si="3"/>
        <v>0.15402661714854635</v>
      </c>
      <c r="P12" s="21">
        <f>P$9*$C$9/$C12</f>
        <v>19841.260078110121</v>
      </c>
      <c r="Q12" s="28">
        <f t="shared" si="4"/>
        <v>3.4424903297775374E-2</v>
      </c>
      <c r="R12" s="21">
        <f t="shared" si="10"/>
        <v>1000</v>
      </c>
      <c r="S12" s="28">
        <f t="shared" si="4"/>
        <v>0.15341353079087044</v>
      </c>
    </row>
    <row r="13" spans="1:19" x14ac:dyDescent="0.3">
      <c r="A13" s="13">
        <f t="shared" si="5"/>
        <v>1.5811388300841896E-6</v>
      </c>
      <c r="B13" s="26">
        <f t="shared" si="11"/>
        <v>3.1622776601683795E-10</v>
      </c>
      <c r="C13" s="18">
        <f t="shared" si="6"/>
        <v>2.032261226793789E-4</v>
      </c>
      <c r="D13" s="21">
        <f t="shared" si="7"/>
        <v>4920.6272639352419</v>
      </c>
      <c r="E13" s="21">
        <f>$E$9*A13</f>
        <v>1.2445491582135275</v>
      </c>
      <c r="F13" s="18">
        <f t="shared" si="8"/>
        <v>8.0115193565604436E-8</v>
      </c>
      <c r="G13" s="18">
        <f>F13*SQRT(1+$H$5*B13/($H$4^2))</f>
        <v>8.0115204909341285E-8</v>
      </c>
      <c r="H13" s="23">
        <f t="shared" si="0"/>
        <v>2.5933982784596452E-7</v>
      </c>
      <c r="I13" s="18">
        <f t="shared" si="9"/>
        <v>4.4150660147414174</v>
      </c>
      <c r="J13" s="21">
        <f>J$9*$C$9/$C13</f>
        <v>39.682477934961625</v>
      </c>
      <c r="K13" s="28">
        <f t="shared" si="1"/>
        <v>0.61311681603932622</v>
      </c>
      <c r="L13" s="21">
        <f>L$9*$C$9/$C13</f>
        <v>198.41238967480814</v>
      </c>
      <c r="M13" s="28">
        <f t="shared" si="2"/>
        <v>0.27140207776372122</v>
      </c>
      <c r="N13" s="21">
        <f>N$9*$C$9/$C13</f>
        <v>992.06194837404064</v>
      </c>
      <c r="O13" s="28">
        <f t="shared" si="3"/>
        <v>0.12112951270262047</v>
      </c>
      <c r="P13" s="21">
        <f>P$9*$C$9/$C13</f>
        <v>19841.238967480815</v>
      </c>
      <c r="Q13" s="28">
        <f t="shared" si="4"/>
        <v>2.7072410187041481E-2</v>
      </c>
      <c r="R13" s="21">
        <f t="shared" si="10"/>
        <v>1000</v>
      </c>
      <c r="S13" s="28">
        <f t="shared" si="4"/>
        <v>0.12064730547773998</v>
      </c>
    </row>
    <row r="14" spans="1:19" x14ac:dyDescent="0.3">
      <c r="A14" s="13">
        <f t="shared" si="5"/>
        <v>5.0000000000000004E-6</v>
      </c>
      <c r="B14" s="26">
        <f t="shared" si="11"/>
        <v>1.0000000000000001E-9</v>
      </c>
      <c r="C14" s="18">
        <f t="shared" si="6"/>
        <v>2.0322680645161288E-4</v>
      </c>
      <c r="D14" s="21">
        <f t="shared" si="7"/>
        <v>4920.61070810604</v>
      </c>
      <c r="E14" s="21">
        <f>$E$9*A14</f>
        <v>3.9356100000000005</v>
      </c>
      <c r="F14" s="18">
        <f t="shared" si="8"/>
        <v>4.5052084117563321E-8</v>
      </c>
      <c r="G14" s="18">
        <f>F14*SQRT(1+$H$5*B14/($H$4^2))</f>
        <v>4.5052104289893915E-8</v>
      </c>
      <c r="H14" s="23">
        <f t="shared" si="0"/>
        <v>8.2010178468433995E-7</v>
      </c>
      <c r="I14" s="18">
        <f t="shared" si="9"/>
        <v>1.3961611438718891</v>
      </c>
      <c r="J14" s="21">
        <f>J$9*$C$9/$C14</f>
        <v>39.682344420210001</v>
      </c>
      <c r="K14" s="28">
        <f>1/SQRT(J14-1)*SQRT(2*(1+2*SQRT(1+2*$I14)))</f>
        <v>0.50306611627946463</v>
      </c>
      <c r="L14" s="21">
        <f>L$9*$C$9/$C14</f>
        <v>198.41172210105</v>
      </c>
      <c r="M14" s="28">
        <f t="shared" si="2"/>
        <v>0.22268706527812615</v>
      </c>
      <c r="N14" s="21">
        <f>N$9*$C$9/$C14</f>
        <v>992.05861050524993</v>
      </c>
      <c r="O14" s="28">
        <f t="shared" si="3"/>
        <v>9.9387505580269778E-2</v>
      </c>
      <c r="P14" s="21">
        <f>P$9*$C$9/$C14</f>
        <v>19841.172210105</v>
      </c>
      <c r="Q14" s="28">
        <f t="shared" si="4"/>
        <v>2.2213078003562148E-2</v>
      </c>
      <c r="R14" s="21">
        <f t="shared" si="10"/>
        <v>1000</v>
      </c>
      <c r="S14" s="28">
        <f t="shared" si="4"/>
        <v>9.8991684903721761E-2</v>
      </c>
    </row>
    <row r="15" spans="1:19" x14ac:dyDescent="0.3">
      <c r="A15" s="13">
        <f t="shared" si="5"/>
        <v>1.5811388300841898E-5</v>
      </c>
      <c r="B15" s="26">
        <f t="shared" si="11"/>
        <v>3.1622776601683795E-9</v>
      </c>
      <c r="C15" s="18">
        <f t="shared" si="6"/>
        <v>2.0322896872927305E-4</v>
      </c>
      <c r="D15" s="21">
        <f t="shared" si="7"/>
        <v>4920.5583547103843</v>
      </c>
      <c r="E15" s="21">
        <f>$E$9*A15</f>
        <v>12.445491582135276</v>
      </c>
      <c r="F15" s="18">
        <f t="shared" si="8"/>
        <v>2.533464868525764E-8</v>
      </c>
      <c r="G15" s="18">
        <f>F15*SQRT(1+$H$5*B15/($H$4^2))</f>
        <v>2.5334684557280423E-8</v>
      </c>
      <c r="H15" s="23">
        <f t="shared" si="0"/>
        <v>2.5933619601092542E-6</v>
      </c>
      <c r="I15" s="18">
        <f t="shared" si="9"/>
        <v>0.44149640892993097</v>
      </c>
      <c r="J15" s="21">
        <f>J$9*$C$9/$C15</f>
        <v>39.681922215406324</v>
      </c>
      <c r="K15" s="28">
        <f t="shared" si="1"/>
        <v>0.44000197639860561</v>
      </c>
      <c r="L15" s="21">
        <f>L$9*$C$9/$C15</f>
        <v>198.40961107703163</v>
      </c>
      <c r="M15" s="28">
        <f t="shared" si="2"/>
        <v>0.19477109436551371</v>
      </c>
      <c r="N15" s="21">
        <f>N$9*$C$9/$C15</f>
        <v>992.04805538515814</v>
      </c>
      <c r="O15" s="28">
        <f t="shared" si="3"/>
        <v>8.6928321526915681E-2</v>
      </c>
      <c r="P15" s="21">
        <f>P$9*$C$9/$C15</f>
        <v>19840.961107703162</v>
      </c>
      <c r="Q15" s="28">
        <f t="shared" si="4"/>
        <v>1.9428453965869005E-2</v>
      </c>
      <c r="R15" s="21">
        <f t="shared" si="10"/>
        <v>1000</v>
      </c>
      <c r="S15" s="28">
        <f t="shared" si="4"/>
        <v>8.658165973025049E-2</v>
      </c>
    </row>
    <row r="16" spans="1:19" x14ac:dyDescent="0.3">
      <c r="A16" s="13">
        <f t="shared" si="5"/>
        <v>5.0000000000000009E-5</v>
      </c>
      <c r="B16" s="26">
        <f t="shared" si="11"/>
        <v>1.0000000000000002E-8</v>
      </c>
      <c r="C16" s="18">
        <f t="shared" si="6"/>
        <v>2.0323580645161289E-4</v>
      </c>
      <c r="D16" s="21">
        <f t="shared" si="7"/>
        <v>4920.3928060682729</v>
      </c>
      <c r="E16" s="21">
        <f>$E$9*A16</f>
        <v>39.356100000000005</v>
      </c>
      <c r="F16" s="18">
        <f t="shared" si="8"/>
        <v>1.4246719914899715E-8</v>
      </c>
      <c r="G16" s="18">
        <f>F16*SQRT(1+$H$5*B16/($H$4^2))</f>
        <v>1.4246783705281577E-8</v>
      </c>
      <c r="H16" s="23">
        <f t="shared" si="0"/>
        <v>8.2006546767804566E-6</v>
      </c>
      <c r="I16" s="18">
        <f t="shared" si="9"/>
        <v>0.13959481959711473</v>
      </c>
      <c r="J16" s="21">
        <f>J$9*$C$9/$C16</f>
        <v>39.680587145711883</v>
      </c>
      <c r="K16" s="28">
        <f t="shared" si="1"/>
        <v>0.4106881131610875</v>
      </c>
      <c r="L16" s="21">
        <f>L$9*$C$9/$C16</f>
        <v>198.40293572855938</v>
      </c>
      <c r="M16" s="28">
        <f t="shared" si="2"/>
        <v>0.18179496812024343</v>
      </c>
      <c r="N16" s="21">
        <f>N$9*$C$9/$C16</f>
        <v>992.01467864279698</v>
      </c>
      <c r="O16" s="28">
        <f t="shared" si="3"/>
        <v>8.1136938793538033E-2</v>
      </c>
      <c r="P16" s="21">
        <f>P$9*$C$9/$C16</f>
        <v>19840.293572855939</v>
      </c>
      <c r="Q16" s="28">
        <f t="shared" si="4"/>
        <v>1.8134081357731698E-2</v>
      </c>
      <c r="R16" s="21">
        <f t="shared" si="10"/>
        <v>1000</v>
      </c>
      <c r="S16" s="28">
        <f t="shared" si="4"/>
        <v>8.081201163789406E-2</v>
      </c>
    </row>
    <row r="17" spans="1:19" x14ac:dyDescent="0.3">
      <c r="A17" s="13">
        <f t="shared" si="5"/>
        <v>1.58113883008419E-4</v>
      </c>
      <c r="B17" s="26">
        <f t="shared" si="11"/>
        <v>3.1622776601683799E-8</v>
      </c>
      <c r="C17" s="18">
        <f t="shared" si="6"/>
        <v>2.0325742922821459E-4</v>
      </c>
      <c r="D17" s="21">
        <f t="shared" si="7"/>
        <v>4919.8693685986455</v>
      </c>
      <c r="E17" s="21">
        <f>$E$9*A17</f>
        <v>124.45491582135278</v>
      </c>
      <c r="F17" s="18">
        <f t="shared" si="8"/>
        <v>8.0115193565604429E-9</v>
      </c>
      <c r="G17" s="18">
        <f>F17*SQRT(1+$H$5*B17/($H$4^2))</f>
        <v>8.0116327931339439E-9</v>
      </c>
      <c r="H17" s="23">
        <f t="shared" si="0"/>
        <v>2.592998832544368E-5</v>
      </c>
      <c r="I17" s="18">
        <f t="shared" si="9"/>
        <v>4.4093242679484043E-2</v>
      </c>
      <c r="J17" s="21">
        <f>J$9*$C$9/$C17</f>
        <v>39.676365875795526</v>
      </c>
      <c r="K17" s="28">
        <f t="shared" si="1"/>
        <v>0.39949642196259838</v>
      </c>
      <c r="L17" s="21">
        <f>L$9*$C$9/$C17</f>
        <v>198.38182937897764</v>
      </c>
      <c r="M17" s="28">
        <f t="shared" si="2"/>
        <v>0.17684066486890826</v>
      </c>
      <c r="N17" s="21">
        <f>N$9*$C$9/$C17</f>
        <v>991.90914689488818</v>
      </c>
      <c r="O17" s="28">
        <f t="shared" si="3"/>
        <v>7.8925765952944232E-2</v>
      </c>
      <c r="P17" s="21">
        <f>P$9*$C$9/$C17</f>
        <v>19838.182937897764</v>
      </c>
      <c r="Q17" s="28">
        <f t="shared" si="4"/>
        <v>1.7639883994937731E-2</v>
      </c>
      <c r="R17" s="21">
        <f t="shared" si="10"/>
        <v>1000</v>
      </c>
      <c r="S17" s="28">
        <f t="shared" si="4"/>
        <v>7.8605508199371232E-2</v>
      </c>
    </row>
    <row r="18" spans="1:19" x14ac:dyDescent="0.3">
      <c r="A18" s="13">
        <f t="shared" si="5"/>
        <v>5.0000000000000012E-4</v>
      </c>
      <c r="B18" s="26">
        <f t="shared" si="11"/>
        <v>1.0000000000000002E-7</v>
      </c>
      <c r="C18" s="18">
        <f t="shared" si="6"/>
        <v>2.033258064516129E-4</v>
      </c>
      <c r="D18" s="21">
        <f t="shared" si="7"/>
        <v>4918.2148466627532</v>
      </c>
      <c r="E18" s="21">
        <f>$E$9*A18</f>
        <v>393.56100000000009</v>
      </c>
      <c r="F18" s="18">
        <f t="shared" si="8"/>
        <v>4.5052084117563317E-9</v>
      </c>
      <c r="G18" s="18">
        <f>F18*SQRT(1+$H$5*B18/($H$4^2))</f>
        <v>4.5054101305915045E-9</v>
      </c>
      <c r="H18" s="23">
        <f t="shared" si="0"/>
        <v>8.1970247444379239E-5</v>
      </c>
      <c r="I18" s="18">
        <f t="shared" si="9"/>
        <v>1.3792126557194351E-2</v>
      </c>
      <c r="J18" s="21">
        <f>J$9*$C$9/$C18</f>
        <v>39.66302295695769</v>
      </c>
      <c r="K18" s="28">
        <f t="shared" si="1"/>
        <v>0.39573253243632511</v>
      </c>
      <c r="L18" s="21">
        <f>L$9*$C$9/$C18</f>
        <v>198.31511478478845</v>
      </c>
      <c r="M18" s="28">
        <f>1/SQRT(L18-1)*SQRT(2*(1+2*SQRT(1+2*$I18)))</f>
        <v>0.17517393294319702</v>
      </c>
      <c r="N18" s="21">
        <f>N$9*$C$9/$C18</f>
        <v>991.57557392394222</v>
      </c>
      <c r="O18" s="28">
        <f t="shared" si="3"/>
        <v>7.818183339066416E-2</v>
      </c>
      <c r="P18" s="21">
        <f>P$9*$C$9/$C18</f>
        <v>19831.511478478846</v>
      </c>
      <c r="Q18" s="28">
        <f t="shared" si="4"/>
        <v>1.7473612482116031E-2</v>
      </c>
      <c r="R18" s="21">
        <f t="shared" si="10"/>
        <v>1000</v>
      </c>
      <c r="S18" s="28">
        <f t="shared" si="4"/>
        <v>7.785148728954551E-2</v>
      </c>
    </row>
    <row r="19" spans="1:19" x14ac:dyDescent="0.3">
      <c r="A19" s="13">
        <f t="shared" si="5"/>
        <v>1.5811388300841901E-3</v>
      </c>
      <c r="B19" s="26">
        <f t="shared" si="11"/>
        <v>3.1622776601683802E-7</v>
      </c>
      <c r="C19" s="18">
        <f t="shared" si="6"/>
        <v>2.0354203421762973E-4</v>
      </c>
      <c r="D19" s="21">
        <f t="shared" si="7"/>
        <v>4912.990104691532</v>
      </c>
      <c r="E19" s="21">
        <f>$E$9*A19</f>
        <v>1244.549158213528</v>
      </c>
      <c r="F19" s="18">
        <f t="shared" si="8"/>
        <v>2.5334648685257636E-9</v>
      </c>
      <c r="G19" s="18">
        <f>F19*SQRT(1+$H$5*B19/($H$4^2))</f>
        <v>2.5338235636150378E-9</v>
      </c>
      <c r="H19" s="23">
        <f t="shared" si="0"/>
        <v>2.5893731421157233E-4</v>
      </c>
      <c r="I19" s="18">
        <f t="shared" si="9"/>
        <v>3.8915865059098095E-3</v>
      </c>
      <c r="J19" s="21">
        <f>J$9*$C$9/$C19</f>
        <v>39.620887941060737</v>
      </c>
      <c r="K19" s="28">
        <f t="shared" si="1"/>
        <v>0.39466266495356672</v>
      </c>
      <c r="L19" s="21">
        <f>L$9*$C$9/$C19</f>
        <v>198.10443970530369</v>
      </c>
      <c r="M19" s="28">
        <f t="shared" si="2"/>
        <v>0.1746984163210136</v>
      </c>
      <c r="N19" s="21">
        <f>N$9*$C$9/$C19</f>
        <v>990.52219852651842</v>
      </c>
      <c r="O19" s="28">
        <f t="shared" si="3"/>
        <v>7.7969437427295785E-2</v>
      </c>
      <c r="P19" s="21">
        <f>P$9*$C$9/$C19</f>
        <v>19810.44397053037</v>
      </c>
      <c r="Q19" s="28">
        <f t="shared" si="4"/>
        <v>1.7426133171558531E-2</v>
      </c>
      <c r="R19" s="21">
        <f t="shared" si="10"/>
        <v>1000</v>
      </c>
      <c r="S19" s="28">
        <f t="shared" si="4"/>
        <v>7.7598696716931398E-2</v>
      </c>
    </row>
    <row r="20" spans="1:19" x14ac:dyDescent="0.3">
      <c r="A20" s="13">
        <f t="shared" si="5"/>
        <v>5.0000000000000018E-3</v>
      </c>
      <c r="B20" s="26">
        <f t="shared" si="11"/>
        <v>1.0000000000000004E-6</v>
      </c>
      <c r="C20" s="18">
        <f t="shared" si="6"/>
        <v>2.0422580645161289E-4</v>
      </c>
      <c r="D20" s="21">
        <f t="shared" si="7"/>
        <v>4896.5408308324122</v>
      </c>
      <c r="E20" s="21">
        <f>$E$9*A20</f>
        <v>3935.6100000000015</v>
      </c>
      <c r="F20" s="18">
        <f t="shared" si="8"/>
        <v>1.4246719914899713E-9</v>
      </c>
      <c r="G20" s="18">
        <f>F20*SQRT(1+$H$5*B20/($H$4^2))</f>
        <v>1.425309753987723E-9</v>
      </c>
      <c r="H20" s="23">
        <f t="shared" si="0"/>
        <v>8.1609013847206899E-4</v>
      </c>
      <c r="I20" s="18">
        <f t="shared" si="9"/>
        <v>-2.4160410561884903E-4</v>
      </c>
      <c r="J20" s="21">
        <f>J$9*$C$9/$C20</f>
        <v>39.488232506713004</v>
      </c>
      <c r="K20" s="28">
        <f t="shared" si="1"/>
        <v>0.3947995587785344</v>
      </c>
      <c r="L20" s="21">
        <f>L$9*$C$9/$C20</f>
        <v>197.44116253356501</v>
      </c>
      <c r="M20" s="28">
        <f t="shared" si="2"/>
        <v>0.17475290122012424</v>
      </c>
      <c r="N20" s="21">
        <f>N$9*$C$9/$C20</f>
        <v>987.20581266782494</v>
      </c>
      <c r="O20" s="28">
        <f t="shared" si="3"/>
        <v>7.7993222258025879E-2</v>
      </c>
      <c r="P20" s="21">
        <f>P$9*$C$9/$C20</f>
        <v>19744.1162533565</v>
      </c>
      <c r="Q20" s="28">
        <f t="shared" si="4"/>
        <v>1.7431420958895105E-2</v>
      </c>
      <c r="R20" s="21">
        <f t="shared" si="10"/>
        <v>1000</v>
      </c>
      <c r="S20" s="28">
        <f t="shared" si="4"/>
        <v>7.7492183511045365E-2</v>
      </c>
    </row>
    <row r="21" spans="1:19" x14ac:dyDescent="0.3">
      <c r="A21" s="13">
        <f t="shared" si="5"/>
        <v>1.5811388300841903E-2</v>
      </c>
      <c r="B21" s="26">
        <f t="shared" si="11"/>
        <v>3.1622776601683809E-6</v>
      </c>
      <c r="C21" s="18">
        <f t="shared" si="6"/>
        <v>2.0638808411178126E-4</v>
      </c>
      <c r="D21" s="21">
        <f t="shared" si="7"/>
        <v>4845.2409658417728</v>
      </c>
      <c r="E21" s="21">
        <f>$E$9*A21</f>
        <v>12445.491582135281</v>
      </c>
      <c r="F21" s="18">
        <f t="shared" si="8"/>
        <v>8.0115193565604408E-10</v>
      </c>
      <c r="G21" s="18">
        <f>F21*SQRT(1+$H$5*B21/($H$4^2))</f>
        <v>8.0228550746100921E-10</v>
      </c>
      <c r="H21" s="23">
        <f t="shared" si="0"/>
        <v>2.5536662107356841E-3</v>
      </c>
      <c r="I21" s="18">
        <f t="shared" si="9"/>
        <v>-4.6713588501707008E-3</v>
      </c>
      <c r="J21" s="21">
        <f>J$9*$C$9/$C21</f>
        <v>39.07452391807881</v>
      </c>
      <c r="K21" s="28">
        <f t="shared" si="1"/>
        <v>0.39635057158629527</v>
      </c>
      <c r="L21" s="21">
        <f>L$9*$C$9/$C21</f>
        <v>195.37261959039404</v>
      </c>
      <c r="M21" s="28">
        <f t="shared" si="2"/>
        <v>0.1754200319527382</v>
      </c>
      <c r="N21" s="21">
        <f>N$9*$C$9/$C21</f>
        <v>976.86309795197019</v>
      </c>
      <c r="O21" s="28">
        <f t="shared" si="3"/>
        <v>7.8289276909153743E-2</v>
      </c>
      <c r="P21" s="21">
        <f>P$9*$C$9/$C21</f>
        <v>19537.261959039406</v>
      </c>
      <c r="Q21" s="28">
        <f t="shared" si="4"/>
        <v>1.7497499696060136E-2</v>
      </c>
      <c r="R21" s="21">
        <f t="shared" si="10"/>
        <v>1000</v>
      </c>
      <c r="S21" s="28">
        <f t="shared" si="4"/>
        <v>7.7377373787919007E-2</v>
      </c>
    </row>
    <row r="22" spans="1:19" x14ac:dyDescent="0.3">
      <c r="A22" s="13">
        <f t="shared" si="5"/>
        <v>5.0000000000000031E-2</v>
      </c>
      <c r="B22" s="26">
        <f t="shared" si="11"/>
        <v>1.0000000000000006E-5</v>
      </c>
      <c r="C22" s="18">
        <f t="shared" si="6"/>
        <v>2.1322580645161289E-4</v>
      </c>
      <c r="D22" s="21">
        <f t="shared" si="7"/>
        <v>4689.863842662633</v>
      </c>
      <c r="E22" s="21">
        <f>$E$9*A22</f>
        <v>39356.100000000028</v>
      </c>
      <c r="F22" s="18">
        <f t="shared" si="8"/>
        <v>4.5052084117563311E-10</v>
      </c>
      <c r="G22" s="18">
        <f>F22*SQRT(1+$H$5*B22/($H$4^2))</f>
        <v>4.5253357865482525E-10</v>
      </c>
      <c r="H22" s="23">
        <f t="shared" si="0"/>
        <v>7.8164397377710575E-3</v>
      </c>
      <c r="I22" s="18">
        <f t="shared" si="9"/>
        <v>-1.5498618826354831E-2</v>
      </c>
      <c r="J22" s="21">
        <f>J$9*$C$9/$C22</f>
        <v>37.821482602118003</v>
      </c>
      <c r="K22" s="28">
        <f t="shared" si="1"/>
        <v>0.40156126746848231</v>
      </c>
      <c r="L22" s="21">
        <f>L$9*$C$9/$C22</f>
        <v>189.10741301059002</v>
      </c>
      <c r="M22" s="28">
        <f t="shared" si="2"/>
        <v>0.17766402488072741</v>
      </c>
      <c r="N22" s="21">
        <f>N$9*$C$9/$C22</f>
        <v>945.53706505295008</v>
      </c>
      <c r="O22" s="28">
        <f t="shared" si="3"/>
        <v>7.9285350324502346E-2</v>
      </c>
      <c r="P22" s="21">
        <f>P$9*$C$9/$C22</f>
        <v>18910.741301059003</v>
      </c>
      <c r="Q22" s="28">
        <f t="shared" si="4"/>
        <v>1.7719834373656904E-2</v>
      </c>
      <c r="R22" s="21">
        <f t="shared" si="10"/>
        <v>1000</v>
      </c>
      <c r="S22" s="28">
        <f t="shared" si="4"/>
        <v>7.709384526724021E-2</v>
      </c>
    </row>
    <row r="23" spans="1:19" x14ac:dyDescent="0.3">
      <c r="A23" s="13">
        <f t="shared" si="5"/>
        <v>0.15811388300841908</v>
      </c>
      <c r="B23" s="26">
        <f t="shared" si="11"/>
        <v>3.1622776601683816E-5</v>
      </c>
      <c r="C23" s="18">
        <f t="shared" si="6"/>
        <v>2.3484858305329671E-4</v>
      </c>
      <c r="D23" s="21">
        <f t="shared" si="7"/>
        <v>4258.0627355671941</v>
      </c>
      <c r="E23" s="21">
        <f>$E$9*A23</f>
        <v>124454.91582135284</v>
      </c>
      <c r="F23" s="18">
        <f t="shared" si="8"/>
        <v>2.5334648685257626E-10</v>
      </c>
      <c r="G23" s="18">
        <f>F23*SQRT(1+$H$5*B23/($H$4^2))</f>
        <v>2.5690864889506054E-10</v>
      </c>
      <c r="H23" s="23">
        <f t="shared" si="0"/>
        <v>2.2441961107132674E-2</v>
      </c>
      <c r="I23" s="18">
        <f t="shared" si="9"/>
        <v>-4.484463453330087E-2</v>
      </c>
      <c r="J23" s="21">
        <f>J$9*$C$9/$C23</f>
        <v>34.339215609412854</v>
      </c>
      <c r="K23" s="28">
        <f t="shared" si="1"/>
        <v>0.41768583847114615</v>
      </c>
      <c r="L23" s="21">
        <f>L$9*$C$9/$C23</f>
        <v>171.69607804706428</v>
      </c>
      <c r="M23" s="28">
        <f t="shared" si="2"/>
        <v>0.18459318716231499</v>
      </c>
      <c r="N23" s="21">
        <f>N$9*$C$9/$C23</f>
        <v>858.48039023532135</v>
      </c>
      <c r="O23" s="28">
        <f t="shared" si="3"/>
        <v>8.2359810990037627E-2</v>
      </c>
      <c r="P23" s="21">
        <f>P$9*$C$9/$C23</f>
        <v>17169.607804706429</v>
      </c>
      <c r="Q23" s="28">
        <f t="shared" si="4"/>
        <v>1.8406020433312568E-2</v>
      </c>
      <c r="R23" s="21">
        <f t="shared" si="10"/>
        <v>1000</v>
      </c>
      <c r="S23" s="28">
        <f t="shared" si="4"/>
        <v>7.6303541527017807E-2</v>
      </c>
    </row>
    <row r="24" spans="1:19" x14ac:dyDescent="0.3">
      <c r="A24" s="13">
        <f t="shared" si="5"/>
        <v>0.50000000000000033</v>
      </c>
      <c r="B24" s="26">
        <f t="shared" si="11"/>
        <v>1.0000000000000007E-4</v>
      </c>
      <c r="C24" s="18">
        <f t="shared" si="6"/>
        <v>3.0322580645161297E-4</v>
      </c>
      <c r="D24" s="21">
        <f t="shared" si="7"/>
        <v>3297.8723404255311</v>
      </c>
      <c r="E24" s="21">
        <f>$E$9*A24</f>
        <v>393561.00000000029</v>
      </c>
      <c r="F24" s="18">
        <f t="shared" si="8"/>
        <v>1.4246719914899709E-10</v>
      </c>
      <c r="G24" s="18">
        <f>F24*SQRT(1+$H$5*B24/($H$4^2))</f>
        <v>1.487094963675921E-10</v>
      </c>
      <c r="H24" s="23">
        <f t="shared" si="0"/>
        <v>5.4964539007092222E-2</v>
      </c>
      <c r="I24" s="18">
        <f t="shared" si="9"/>
        <v>-0.10991888275820841</v>
      </c>
      <c r="J24" s="21">
        <f>J$9*$C$9/$C24</f>
        <v>26.595744680851059</v>
      </c>
      <c r="K24" s="28">
        <f t="shared" si="1"/>
        <v>0.46494251976350837</v>
      </c>
      <c r="L24" s="21">
        <f>L$9*$C$9/$C24</f>
        <v>132.97872340425528</v>
      </c>
      <c r="M24" s="28">
        <f t="shared" si="2"/>
        <v>0.20475343108641028</v>
      </c>
      <c r="N24" s="21">
        <f>N$9*$C$9/$C24</f>
        <v>664.89361702127644</v>
      </c>
      <c r="O24" s="28">
        <f t="shared" si="3"/>
        <v>9.1292248357472849E-2</v>
      </c>
      <c r="P24" s="21">
        <f>P$9*$C$9/$C24</f>
        <v>13297.872340425529</v>
      </c>
      <c r="Q24" s="28">
        <f t="shared" si="4"/>
        <v>2.0398977551644208E-2</v>
      </c>
      <c r="R24" s="21">
        <f t="shared" si="10"/>
        <v>1000</v>
      </c>
      <c r="S24" s="28">
        <f t="shared" si="4"/>
        <v>7.4421840386514823E-2</v>
      </c>
    </row>
    <row r="25" spans="1:19" x14ac:dyDescent="0.3">
      <c r="A25" s="13">
        <f t="shared" si="5"/>
        <v>1.5811388300841906</v>
      </c>
      <c r="B25" s="26">
        <f t="shared" si="11"/>
        <v>3.1622776601683816E-4</v>
      </c>
      <c r="C25" s="18">
        <f t="shared" si="6"/>
        <v>5.1945357246845102E-4</v>
      </c>
      <c r="D25" s="21">
        <f t="shared" si="7"/>
        <v>1925.0998607016702</v>
      </c>
      <c r="E25" s="21">
        <f>$E$9*A25</f>
        <v>1244549.1582135283</v>
      </c>
      <c r="F25" s="18">
        <f t="shared" si="8"/>
        <v>8.0115193565604403E-11</v>
      </c>
      <c r="G25" s="18">
        <f>F25*SQRT(1+$H$5*B25/($H$4^2))</f>
        <v>9.075271740613142E-11</v>
      </c>
      <c r="H25" s="23">
        <f t="shared" si="0"/>
        <v>0.10146167138483592</v>
      </c>
      <c r="I25" s="18">
        <f t="shared" si="9"/>
        <v>-0.20292112631207646</v>
      </c>
      <c r="J25" s="21">
        <f>J$9*$C$9/$C25</f>
        <v>15.524998876626372</v>
      </c>
      <c r="K25" s="28">
        <f t="shared" si="1"/>
        <v>0.59157978868824668</v>
      </c>
      <c r="L25" s="21">
        <f>L$9*$C$9/$C25</f>
        <v>77.624994383131863</v>
      </c>
      <c r="M25" s="28">
        <f t="shared" si="2"/>
        <v>0.25756458872783095</v>
      </c>
      <c r="N25" s="21">
        <f>N$9*$C$9/$C25</f>
        <v>388.12497191565927</v>
      </c>
      <c r="O25" s="28">
        <f t="shared" si="3"/>
        <v>0.11458975429943791</v>
      </c>
      <c r="P25" s="21">
        <f>P$9*$C$9/$C25</f>
        <v>7762.4994383131861</v>
      </c>
      <c r="Q25" s="28">
        <f t="shared" si="4"/>
        <v>2.5591666434572197E-2</v>
      </c>
      <c r="R25" s="21">
        <f t="shared" si="10"/>
        <v>1000</v>
      </c>
      <c r="S25" s="28">
        <f t="shared" si="4"/>
        <v>7.1332695863044776E-2</v>
      </c>
    </row>
    <row r="26" spans="1:19" x14ac:dyDescent="0.3">
      <c r="A26" s="13">
        <f t="shared" si="5"/>
        <v>5.0000000000000036</v>
      </c>
      <c r="B26" s="26">
        <f t="shared" si="11"/>
        <v>1.0000000000000007E-3</v>
      </c>
      <c r="C26" s="18">
        <f t="shared" si="6"/>
        <v>1.2032258064516136E-3</v>
      </c>
      <c r="D26" s="21">
        <f t="shared" si="7"/>
        <v>831.09919571045521</v>
      </c>
      <c r="E26" s="21">
        <f t="shared" ref="E26:E30" si="12">$E$9*A26</f>
        <v>3935610.0000000028</v>
      </c>
      <c r="F26" s="18">
        <f t="shared" si="8"/>
        <v>4.5052084117563306E-11</v>
      </c>
      <c r="G26" s="18">
        <f t="shared" ref="G26:G30" si="13">F26*SQRT(1+$H$5*B26/($H$4^2))</f>
        <v>6.2026621380491823E-11</v>
      </c>
      <c r="H26" s="23">
        <f t="shared" ref="H26:H30" si="14">1/6*B26/C26</f>
        <v>0.13851653261840929</v>
      </c>
      <c r="I26" s="18">
        <f t="shared" ref="I26:I30" si="15">G26^2/($H$5*C26)-2*H26</f>
        <v>-0.27703261824867703</v>
      </c>
      <c r="J26" s="21">
        <f t="shared" ref="J26:J30" si="16">J$9*$C$9/$C26</f>
        <v>6.7024128686327034</v>
      </c>
      <c r="K26" s="28">
        <f t="shared" si="1"/>
        <v>0.90506928878312853</v>
      </c>
      <c r="L26" s="21">
        <f t="shared" ref="L26:L30" si="17">L$9*$C$9/$C26</f>
        <v>33.512064343163516</v>
      </c>
      <c r="M26" s="28">
        <f t="shared" si="2"/>
        <v>0.37904335255605892</v>
      </c>
      <c r="N26" s="21">
        <f t="shared" ref="N26:N30" si="18">N$9*$C$9/$C26</f>
        <v>167.56032171581759</v>
      </c>
      <c r="O26" s="28">
        <f t="shared" si="3"/>
        <v>0.16746551216463765</v>
      </c>
      <c r="P26" s="21">
        <f t="shared" ref="P26:R30" si="19">P$9*$C$9/$C26</f>
        <v>3351.206434316352</v>
      </c>
      <c r="Q26" s="28">
        <f t="shared" si="4"/>
        <v>3.7340091112431854E-2</v>
      </c>
      <c r="R26" s="21">
        <f t="shared" si="10"/>
        <v>1000</v>
      </c>
      <c r="S26" s="28">
        <f t="shared" si="4"/>
        <v>6.8379892452244295E-2</v>
      </c>
    </row>
    <row r="27" spans="1:19" x14ac:dyDescent="0.3">
      <c r="A27" s="13">
        <f t="shared" si="5"/>
        <v>15.811388300841907</v>
      </c>
      <c r="B27" s="26">
        <f t="shared" si="11"/>
        <v>3.1622776601683816E-3</v>
      </c>
      <c r="C27" s="18">
        <f t="shared" si="6"/>
        <v>3.3655034666199945E-3</v>
      </c>
      <c r="D27" s="21">
        <f t="shared" si="7"/>
        <v>297.13236367701887</v>
      </c>
      <c r="E27" s="21">
        <f t="shared" si="12"/>
        <v>12445491.582135284</v>
      </c>
      <c r="F27" s="18">
        <f t="shared" si="8"/>
        <v>2.5334648685257628E-11</v>
      </c>
      <c r="G27" s="18">
        <f t="shared" si="13"/>
        <v>4.9592901715349459E-11</v>
      </c>
      <c r="H27" s="23">
        <f t="shared" si="14"/>
        <v>0.15660250596147732</v>
      </c>
      <c r="I27" s="18">
        <f t="shared" si="15"/>
        <v>-0.3132049097641304</v>
      </c>
      <c r="J27" s="21">
        <f t="shared" si="16"/>
        <v>2.3962287393307973</v>
      </c>
      <c r="K27" s="28">
        <f t="shared" si="1"/>
        <v>1.7842338748626434</v>
      </c>
      <c r="L27" s="21">
        <f t="shared" si="17"/>
        <v>11.981143696653987</v>
      </c>
      <c r="M27" s="28">
        <f t="shared" si="2"/>
        <v>0.63621847992419422</v>
      </c>
      <c r="N27" s="21">
        <f t="shared" si="18"/>
        <v>59.905718483269929</v>
      </c>
      <c r="O27" s="28">
        <f t="shared" si="3"/>
        <v>0.27469536925678029</v>
      </c>
      <c r="P27" s="21">
        <f t="shared" si="19"/>
        <v>1198.1143696653987</v>
      </c>
      <c r="Q27" s="28">
        <f t="shared" si="4"/>
        <v>6.0934358738225301E-2</v>
      </c>
      <c r="R27" s="21">
        <f t="shared" si="10"/>
        <v>1000</v>
      </c>
      <c r="S27" s="28">
        <f t="shared" si="4"/>
        <v>6.670330041299799E-2</v>
      </c>
    </row>
    <row r="28" spans="1:19" x14ac:dyDescent="0.3">
      <c r="A28" s="13">
        <f t="shared" si="5"/>
        <v>50.000000000000036</v>
      </c>
      <c r="B28" s="26">
        <f t="shared" si="11"/>
        <v>1.0000000000000007E-2</v>
      </c>
      <c r="C28" s="18">
        <f t="shared" si="6"/>
        <v>1.0203225806451621E-2</v>
      </c>
      <c r="D28" s="21">
        <f t="shared" si="7"/>
        <v>98.008220044261705</v>
      </c>
      <c r="E28" s="21">
        <f t="shared" si="12"/>
        <v>39356100.00000003</v>
      </c>
      <c r="F28" s="18">
        <f t="shared" si="8"/>
        <v>1.424671991489971E-11</v>
      </c>
      <c r="G28" s="18">
        <f t="shared" si="13"/>
        <v>4.4950867676569777E-11</v>
      </c>
      <c r="H28" s="23">
        <f t="shared" si="14"/>
        <v>0.16334703340710297</v>
      </c>
      <c r="I28" s="18">
        <f t="shared" si="15"/>
        <v>-0.32669403913041578</v>
      </c>
      <c r="J28" s="21">
        <f t="shared" si="16"/>
        <v>0.79038887132469116</v>
      </c>
      <c r="K28" s="28" t="e">
        <f t="shared" si="1"/>
        <v>#NUM!</v>
      </c>
      <c r="L28" s="21">
        <f t="shared" si="17"/>
        <v>3.9519443566234558</v>
      </c>
      <c r="M28" s="28">
        <f t="shared" si="2"/>
        <v>1.2146118568344582</v>
      </c>
      <c r="N28" s="21">
        <f t="shared" si="18"/>
        <v>19.759721783117278</v>
      </c>
      <c r="O28" s="28">
        <f t="shared" si="3"/>
        <v>0.48181287732623052</v>
      </c>
      <c r="P28" s="21">
        <f t="shared" si="19"/>
        <v>395.1944356623456</v>
      </c>
      <c r="Q28" s="28">
        <f t="shared" si="4"/>
        <v>0.1051081409931628</v>
      </c>
      <c r="R28" s="21">
        <f t="shared" si="10"/>
        <v>1000</v>
      </c>
      <c r="S28" s="28">
        <f t="shared" si="4"/>
        <v>6.6025067769599086E-2</v>
      </c>
    </row>
    <row r="29" spans="1:19" x14ac:dyDescent="0.3">
      <c r="A29" s="13">
        <f t="shared" si="5"/>
        <v>158.11388300841909</v>
      </c>
      <c r="B29" s="26">
        <f t="shared" si="11"/>
        <v>3.1622776601683819E-2</v>
      </c>
      <c r="C29" s="18">
        <f t="shared" si="6"/>
        <v>3.1826002408135434E-2</v>
      </c>
      <c r="D29" s="21">
        <f t="shared" si="7"/>
        <v>31.420848499162364</v>
      </c>
      <c r="E29" s="21">
        <f t="shared" si="12"/>
        <v>124454915.82135285</v>
      </c>
      <c r="F29" s="18">
        <f t="shared" si="8"/>
        <v>8.0115193565604403E-12</v>
      </c>
      <c r="G29" s="18">
        <f t="shared" si="13"/>
        <v>4.3379671724707973E-11</v>
      </c>
      <c r="H29" s="23">
        <f t="shared" si="14"/>
        <v>0.16560241212072727</v>
      </c>
      <c r="I29" s="18">
        <f t="shared" si="15"/>
        <v>-0.33120481597579865</v>
      </c>
      <c r="J29" s="21">
        <f t="shared" si="16"/>
        <v>0.25339393950937389</v>
      </c>
      <c r="K29" s="28" t="e">
        <f t="shared" si="1"/>
        <v>#NUM!</v>
      </c>
      <c r="L29" s="21">
        <f t="shared" si="17"/>
        <v>1.2669696975468694</v>
      </c>
      <c r="M29" s="28">
        <f t="shared" si="2"/>
        <v>4.0245463608599676</v>
      </c>
      <c r="N29" s="21">
        <f t="shared" si="18"/>
        <v>6.3348484877343472</v>
      </c>
      <c r="O29" s="28">
        <f t="shared" si="3"/>
        <v>0.9002992212355333</v>
      </c>
      <c r="P29" s="21">
        <f t="shared" si="19"/>
        <v>126.69696975468695</v>
      </c>
      <c r="Q29" s="28">
        <f t="shared" si="4"/>
        <v>0.18547505790524033</v>
      </c>
      <c r="R29" s="21">
        <f t="shared" si="10"/>
        <v>1000</v>
      </c>
      <c r="S29" s="28">
        <f t="shared" si="4"/>
        <v>6.5790801197085372E-2</v>
      </c>
    </row>
    <row r="30" spans="1:19" x14ac:dyDescent="0.3">
      <c r="A30" s="13">
        <f t="shared" si="5"/>
        <v>500.0000000000004</v>
      </c>
      <c r="B30" s="26">
        <f t="shared" si="11"/>
        <v>0.10000000000000009</v>
      </c>
      <c r="C30" s="18">
        <f t="shared" si="6"/>
        <v>0.1002032258064517</v>
      </c>
      <c r="D30" s="21">
        <f t="shared" si="7"/>
        <v>9.9797186363197277</v>
      </c>
      <c r="E30" s="21">
        <f t="shared" si="12"/>
        <v>393561000.0000003</v>
      </c>
      <c r="F30" s="18">
        <f t="shared" si="8"/>
        <v>4.5052084117563309E-12</v>
      </c>
      <c r="G30" s="18">
        <f t="shared" si="13"/>
        <v>4.2870833667847492E-11</v>
      </c>
      <c r="H30" s="23">
        <f t="shared" si="14"/>
        <v>0.16632864393866229</v>
      </c>
      <c r="I30" s="18">
        <f t="shared" si="15"/>
        <v>-0.3326572853132595</v>
      </c>
      <c r="J30" s="21">
        <f t="shared" si="16"/>
        <v>8.0481601905804251E-2</v>
      </c>
      <c r="K30" s="28" t="e">
        <f t="shared" si="1"/>
        <v>#NUM!</v>
      </c>
      <c r="L30" s="21">
        <f t="shared" si="17"/>
        <v>0.40240800952902128</v>
      </c>
      <c r="M30" s="28" t="e">
        <f t="shared" si="2"/>
        <v>#NUM!</v>
      </c>
      <c r="N30" s="21">
        <f t="shared" si="18"/>
        <v>2.0120400476451064</v>
      </c>
      <c r="O30" s="28">
        <f t="shared" si="3"/>
        <v>2.0646443628961766</v>
      </c>
      <c r="P30" s="21">
        <f t="shared" si="19"/>
        <v>40.240800952902127</v>
      </c>
      <c r="Q30" s="28">
        <f t="shared" si="4"/>
        <v>0.3315699565126673</v>
      </c>
      <c r="R30" s="21">
        <f t="shared" si="10"/>
        <v>1000</v>
      </c>
      <c r="S30" s="28">
        <f t="shared" si="4"/>
        <v>6.5714523001147801E-2</v>
      </c>
    </row>
    <row r="31" spans="1:19" x14ac:dyDescent="0.3">
      <c r="D31" s="22"/>
    </row>
    <row r="32" spans="1:19" x14ac:dyDescent="0.3">
      <c r="D32" s="22"/>
    </row>
    <row r="33" spans="4:4" x14ac:dyDescent="0.3">
      <c r="D33" s="22"/>
    </row>
    <row r="34" spans="4:4" x14ac:dyDescent="0.3">
      <c r="D34" s="22"/>
    </row>
  </sheetData>
  <mergeCells count="5">
    <mergeCell ref="J7:K7"/>
    <mergeCell ref="L7:M7"/>
    <mergeCell ref="N7:O7"/>
    <mergeCell ref="P7:Q7"/>
    <mergeCell ref="R7:S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</vt:vector>
  </HeadingPairs>
  <TitlesOfParts>
    <vt:vector size="6" baseType="lpstr">
      <vt:lpstr>Inputs</vt:lpstr>
      <vt:lpstr>min rel. error of D</vt:lpstr>
      <vt:lpstr>CRLB for different t_exp</vt:lpstr>
      <vt:lpstr>N-10000</vt:lpstr>
      <vt:lpstr>N-10000_t_exp</vt:lpstr>
      <vt:lpstr>N-10000_f</vt:lpstr>
    </vt:vector>
  </TitlesOfParts>
  <Company>ipht-jena.de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Förster, Ronny // Leibniz-IPHT</dc:creator>
  <cp:lastModifiedBy>Förster, Ronny // Leibniz-IPHT</cp:lastModifiedBy>
  <dcterms:created xsi:type="dcterms:W3CDTF">2020-11-12T14:19:01Z</dcterms:created>
  <dcterms:modified xsi:type="dcterms:W3CDTF">2021-01-21T21:37:08Z</dcterms:modified>
</cp:coreProperties>
</file>