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EB396ED1-6DE6-49BC-A203-804BBDA07D55}" xr6:coauthVersionLast="45" xr6:coauthVersionMax="45" xr10:uidLastSave="{00000000-0000-0000-0000-000000000000}"/>
  <bookViews>
    <workbookView xWindow="-120" yWindow="-120" windowWidth="27870" windowHeight="15030" xr2:uid="{00000000-000D-0000-FFFF-FFFF00000000}"/>
  </bookViews>
  <sheets>
    <sheet name="Main Table" sheetId="1" r:id="rId1"/>
    <sheet name="Category Data" sheetId="3" r:id="rId2"/>
    <sheet name="Sub-Category Data" sheetId="4" r:id="rId3"/>
    <sheet name="Project Start Dates" sheetId="5" r:id="rId4"/>
    <sheet name="Success Statistics" sheetId="6" r:id="rId5"/>
    <sheet name="Outcome Summary Stats" sheetId="7" r:id="rId6"/>
    <sheet name="Project Count Growth" sheetId="8" r:id="rId7"/>
  </sheets>
  <definedNames>
    <definedName name="_xlnm._FilterDatabase" localSheetId="0" hidden="1">'Main Table'!$A$1:$T$4115</definedName>
    <definedName name="_xlnm._FilterDatabase" localSheetId="5" hidden="1">'Outcome Summary Stats'!$E$1:$F$4115</definedName>
    <definedName name="failed_backers">'Outcome Summary Stats'!$F$2:$F$1278</definedName>
    <definedName name="project_goals">'Main Table'!$D$2:$D$4115</definedName>
    <definedName name="projects_state">'Main Table'!$F$2:$F$4115</definedName>
    <definedName name="succ_backers">'Outcome Summary Stats'!$B$2:$B$2186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J3" i="7"/>
  <c r="J2" i="7"/>
  <c r="I7" i="7"/>
  <c r="I6" i="7"/>
  <c r="I5" i="7"/>
  <c r="I4" i="7"/>
  <c r="I3" i="7"/>
  <c r="I2" i="7"/>
  <c r="D12" i="6" l="1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13" i="6"/>
  <c r="C13" i="6"/>
  <c r="B13" i="6"/>
  <c r="D2" i="6"/>
  <c r="C2" i="6"/>
  <c r="B2" i="6"/>
  <c r="E3" i="6" l="1"/>
  <c r="G3" i="6" s="1"/>
  <c r="H3" i="6"/>
  <c r="F3" i="6"/>
  <c r="E13" i="6"/>
  <c r="G13" i="6" s="1"/>
  <c r="E12" i="6"/>
  <c r="E11" i="6"/>
  <c r="E10" i="6"/>
  <c r="E9" i="6"/>
  <c r="E8" i="6"/>
  <c r="E7" i="6"/>
  <c r="E2" i="6"/>
  <c r="H2" i="6" s="1"/>
  <c r="E6" i="6"/>
  <c r="E5" i="6"/>
  <c r="E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6" l="1"/>
  <c r="F2" i="6"/>
  <c r="F13" i="6"/>
  <c r="H13" i="6"/>
  <c r="H12" i="6"/>
  <c r="G12" i="6"/>
  <c r="F12" i="6"/>
  <c r="H11" i="6"/>
  <c r="G11" i="6"/>
  <c r="F11" i="6"/>
  <c r="G10" i="6"/>
  <c r="H10" i="6"/>
  <c r="F10" i="6"/>
  <c r="G9" i="6"/>
  <c r="H9" i="6"/>
  <c r="F9" i="6"/>
  <c r="G8" i="6"/>
  <c r="H8" i="6"/>
  <c r="F8" i="6"/>
  <c r="G7" i="6"/>
  <c r="H7" i="6"/>
  <c r="F7" i="6"/>
  <c r="H6" i="6"/>
  <c r="G6" i="6"/>
  <c r="F6" i="6"/>
  <c r="H5" i="6"/>
  <c r="G5" i="6"/>
  <c r="F5" i="6"/>
  <c r="H4" i="6"/>
  <c r="G4" i="6"/>
  <c r="F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<sst xmlns="http://schemas.openxmlformats.org/spreadsheetml/2006/main" count="28300" uniqueCount="8415">
  <si>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</si>
  <si>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</si>
  <si>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</si>
  <si>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</si>
  <si>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</si>
  <si>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</si>
  <si>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</si>
  <si>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</si>
  <si>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</si>
  <si>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</si>
  <si>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</si>
  <si>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</si>
  <si>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</si>
  <si>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</si>
  <si>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</si>
  <si>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</si>
  <si>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</si>
  <si>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</si>
  <si>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</si>
  <si>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</si>
  <si>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</si>
  <si>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</si>
  <si>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</si>
  <si>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</si>
  <si>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</si>
  <si>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</si>
  <si>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</si>
  <si>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</si>
  <si>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</si>
  <si>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</si>
  <si>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</si>
  <si>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</si>
  <si>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</si>
  <si>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</si>
  <si>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</si>
  <si>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</si>
  <si>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</si>
  <si>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</si>
  <si>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</si>
  <si>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</si>
  <si>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</si>
  <si>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</si>
  <si>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</si>
  <si>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</si>
  <si>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</si>
  <si>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</si>
  <si>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</si>
  <si>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</si>
  <si>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</si>
  <si>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</si>
  <si>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</si>
  <si>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</si>
  <si>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</si>
  <si>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</si>
  <si>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</si>
  <si>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</si>
  <si>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</si>
  <si>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</si>
  <si>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</si>
  <si>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</si>
  <si>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</si>
  <si>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</si>
  <si>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</si>
  <si>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</si>
  <si>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</si>
  <si>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</si>
  <si>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</si>
  <si>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</si>
  <si>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</si>
  <si>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</si>
  <si>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</si>
  <si>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</si>
  <si>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</si>
  <si>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</si>
  <si>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</si>
  <si>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</si>
  <si>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</si>
  <si>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</si>
  <si>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</si>
  <si>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</si>
  <si>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</si>
  <si>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</si>
  <si>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</si>
  <si>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</si>
  <si>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</si>
  <si>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</si>
  <si>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</si>
  <si>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</si>
  <si>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</si>
  <si>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</si>
  <si>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</si>
  <si>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</si>
  <si>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</si>
  <si>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</si>
  <si>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</si>
  <si>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</si>
  <si>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</si>
  <si>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</si>
  <si>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</si>
  <si>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</si>
  <si>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</si>
  <si>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</si>
  <si>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</si>
  <si>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</si>
  <si>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</si>
  <si>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</si>
  <si>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</si>
  <si>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</si>
  <si>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</si>
  <si>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</si>
  <si>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</si>
  <si>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</si>
  <si>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</si>
  <si>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</si>
  <si>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</si>
  <si>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</si>
  <si>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</si>
  <si>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</si>
  <si>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</si>
  <si>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</si>
  <si>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</si>
  <si>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</si>
  <si>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</si>
  <si>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</si>
  <si>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</si>
  <si>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</si>
  <si>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</si>
  <si>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</si>
  <si>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</si>
  <si>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</si>
  <si>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</si>
  <si>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</si>
  <si>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</si>
  <si>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</si>
  <si>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</si>
  <si>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</si>
  <si>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</si>
  <si>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</si>
  <si>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</si>
  <si>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</si>
  <si>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</si>
  <si>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</si>
  <si>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</si>
  <si>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</si>
  <si>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</si>
  <si>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</si>
  <si>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</si>
  <si>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</si>
  <si>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</si>
  <si>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</si>
  <si>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</si>
  <si>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</si>
  <si>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</si>
  <si>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</si>
  <si>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</si>
  <si>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</si>
  <si>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</si>
  <si>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</si>
  <si>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</si>
  <si>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</si>
  <si>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</si>
  <si>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</si>
  <si>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</si>
  <si>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</si>
  <si>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</si>
  <si>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</si>
  <si>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</si>
  <si>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</si>
  <si>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</si>
  <si>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</si>
  <si>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</si>
  <si>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</si>
  <si>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</si>
  <si>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</si>
  <si>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</si>
  <si>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</si>
  <si>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</si>
  <si>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</si>
  <si>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</si>
  <si>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</si>
  <si>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</si>
  <si>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</si>
  <si>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</si>
  <si>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</si>
  <si>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</si>
  <si>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</si>
  <si>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</si>
  <si>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</si>
  <si>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</si>
  <si>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</si>
  <si>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</si>
  <si>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</si>
  <si>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</si>
  <si>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</si>
  <si>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</si>
  <si>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</si>
  <si>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</si>
  <si>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</si>
  <si>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</si>
  <si>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</si>
  <si>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</si>
  <si>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</si>
  <si>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</si>
  <si>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</si>
  <si>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</si>
  <si>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</si>
  <si>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</si>
  <si>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</si>
  <si>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</si>
  <si>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</si>
  <si>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</si>
  <si>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</si>
  <si>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</si>
  <si>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</si>
  <si>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</si>
  <si>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</si>
  <si>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</si>
  <si>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</si>
  <si>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</si>
  <si>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</si>
  <si>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</si>
  <si>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</si>
  <si>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</si>
  <si>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</si>
  <si>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</si>
  <si>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</si>
  <si>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</si>
  <si>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</si>
  <si>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</si>
  <si>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</si>
  <si>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</si>
  <si>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</si>
  <si>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</si>
  <si>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</si>
  <si>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</si>
  <si>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</si>
  <si>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</si>
  <si>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</si>
  <si>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</si>
  <si>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</si>
  <si>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</si>
  <si>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</si>
  <si>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</si>
  <si>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</si>
  <si>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</si>
  <si>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</si>
  <si>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</si>
  <si>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</si>
  <si>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</si>
  <si>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</si>
  <si>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</si>
  <si>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</si>
  <si>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</si>
  <si>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</si>
  <si>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</si>
  <si>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</si>
  <si>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</si>
  <si>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</si>
  <si>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</si>
  <si>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</si>
  <si>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</si>
  <si>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</si>
  <si>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</si>
  <si>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</si>
  <si>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</si>
  <si>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</si>
  <si>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</si>
  <si>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</si>
  <si>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</si>
  <si>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</si>
  <si>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</si>
  <si>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</si>
  <si>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</si>
  <si>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</si>
  <si>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</si>
  <si>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</si>
  <si>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</si>
  <si>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</si>
  <si>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</si>
  <si>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</si>
  <si>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</si>
  <si>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</si>
  <si>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</si>
  <si>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</si>
  <si>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</si>
  <si>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</si>
  <si>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</si>
  <si>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</si>
  <si>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</si>
  <si>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</si>
  <si>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</si>
  <si>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</si>
  <si>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</si>
  <si>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</si>
  <si>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</si>
  <si>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</si>
  <si>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</si>
  <si>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</si>
  <si>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</si>
  <si>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</si>
  <si>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</si>
  <si>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</si>
  <si>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</si>
  <si>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</si>
  <si>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</si>
  <si>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</si>
  <si>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</si>
  <si>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</si>
  <si>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</si>
  <si>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</si>
  <si>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</si>
  <si>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</si>
  <si>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</si>
  <si>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</si>
  <si>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</si>
  <si>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</si>
  <si>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</si>
  <si>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</si>
  <si>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</si>
  <si>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</si>
  <si>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</si>
  <si>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</si>
  <si>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</si>
  <si>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</si>
  <si>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</si>
  <si>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</si>
  <si>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</si>
  <si>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</si>
  <si>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</si>
  <si>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</si>
  <si>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</si>
  <si>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</si>
  <si>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</si>
  <si>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</si>
  <si>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</si>
  <si>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</si>
  <si>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</si>
  <si>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</si>
  <si>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</si>
  <si>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</si>
  <si>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</si>
  <si>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</si>
  <si>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</si>
  <si>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</si>
  <si>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</si>
  <si>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</si>
  <si>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</si>
  <si>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</si>
  <si>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</si>
  <si>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</si>
  <si>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</si>
  <si>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</si>
  <si>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</si>
  <si>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</si>
  <si>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</si>
  <si>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</si>
  <si>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</si>
  <si>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</si>
  <si>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</si>
  <si>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</si>
  <si>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</si>
  <si>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</si>
  <si>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</si>
  <si>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</si>
  <si>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</si>
  <si>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</si>
  <si>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</si>
  <si>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</si>
  <si>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</si>
  <si>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</si>
  <si>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</si>
  <si>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</si>
  <si>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</si>
  <si>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</si>
  <si>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</si>
  <si>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</si>
  <si>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</si>
  <si>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</si>
  <si>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</si>
  <si>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</si>
  <si>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</si>
  <si>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</si>
  <si>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</si>
  <si>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</si>
  <si>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</si>
  <si>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</si>
  <si>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</si>
  <si>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</si>
  <si>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</si>
  <si>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</si>
  <si>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</si>
  <si>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</si>
  <si>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</si>
  <si>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</si>
  <si>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</si>
  <si>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</si>
  <si>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</si>
  <si>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</si>
  <si>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</si>
  <si>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</si>
  <si>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</si>
  <si>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</si>
  <si>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</si>
  <si>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</si>
  <si>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</si>
  <si>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</si>
  <si>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</si>
  <si>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</si>
  <si>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</si>
  <si>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</si>
  <si>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</si>
  <si>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</si>
  <si>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</si>
  <si>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</si>
  <si>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</si>
  <si>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</si>
  <si>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</si>
  <si>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</si>
  <si>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</si>
  <si>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</si>
  <si>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</si>
  <si>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</si>
  <si>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</si>
  <si>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</si>
  <si>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</si>
  <si>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</si>
  <si>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</si>
  <si>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</si>
  <si>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</si>
  <si>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</si>
  <si>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</si>
  <si>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</si>
  <si>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</si>
  <si>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</si>
  <si>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</si>
  <si>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</si>
  <si>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</si>
  <si>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</si>
  <si>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</si>
  <si>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</si>
  <si>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</si>
  <si>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</si>
  <si>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</si>
  <si>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</si>
  <si>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</si>
  <si>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</si>
  <si>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</si>
  <si>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</si>
  <si>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</si>
  <si>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</si>
  <si>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</si>
  <si>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</si>
  <si>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</si>
  <si>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</si>
  <si>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</si>
  <si>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</si>
  <si>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</si>
  <si>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</si>
  <si>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</si>
  <si>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</si>
  <si>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</si>
  <si>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</si>
  <si>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</si>
  <si>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</si>
  <si>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</si>
  <si>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</si>
  <si>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</si>
  <si>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</si>
  <si>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</si>
  <si>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</si>
  <si>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</si>
  <si>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</si>
  <si>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</si>
  <si>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</si>
  <si>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</si>
  <si>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</si>
  <si>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</si>
  <si>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</si>
  <si>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</si>
  <si>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</si>
  <si>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</si>
  <si>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</si>
  <si>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</si>
  <si>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</si>
  <si>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</si>
  <si>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</si>
  <si>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</si>
  <si>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</si>
  <si>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</si>
  <si>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</si>
  <si>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</si>
  <si>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</si>
  <si>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</si>
  <si>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</si>
  <si>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</si>
  <si>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</si>
  <si>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</si>
  <si>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</si>
  <si>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</si>
  <si>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</si>
  <si>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</si>
  <si>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</si>
  <si>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</si>
  <si>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</si>
  <si>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</si>
  <si>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</si>
  <si>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</si>
  <si>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</si>
  <si>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</si>
  <si>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</si>
  <si>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</si>
  <si>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</si>
  <si>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</si>
  <si>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</si>
  <si>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</si>
  <si>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</si>
  <si>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</si>
  <si>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</si>
  <si>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</si>
  <si>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</si>
  <si>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</si>
  <si>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</si>
  <si>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</si>
  <si>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</si>
  <si>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</si>
  <si>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</si>
  <si>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</si>
  <si>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</si>
  <si>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</si>
  <si>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</si>
  <si>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</si>
  <si>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</si>
  <si>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</si>
  <si>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</si>
  <si>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</si>
  <si>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</si>
  <si>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</si>
  <si>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</si>
  <si>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</si>
  <si>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</si>
  <si>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</si>
  <si>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</si>
  <si>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</si>
  <si>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</si>
  <si>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</si>
  <si>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</si>
  <si>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</si>
  <si>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</si>
  <si>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</si>
  <si>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</si>
  <si>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</si>
  <si>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</si>
  <si>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</si>
  <si>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</si>
  <si>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</si>
  <si>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</si>
  <si>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</si>
  <si>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</si>
  <si>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</si>
  <si>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</si>
  <si>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</si>
  <si>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</si>
  <si>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</si>
  <si>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</si>
  <si>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</si>
  <si>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</si>
  <si>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</si>
  <si>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</si>
  <si>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</si>
  <si>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</si>
  <si>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</si>
  <si>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</si>
  <si>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</si>
  <si>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</si>
  <si>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</si>
  <si>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</si>
  <si>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</si>
  <si>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</si>
  <si>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</si>
  <si>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</si>
  <si>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</si>
  <si>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</si>
  <si>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</si>
  <si>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</si>
  <si>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</si>
  <si>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</si>
  <si>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</si>
  <si>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</si>
  <si>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</si>
  <si>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</si>
  <si>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</si>
  <si>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</si>
  <si>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</si>
  <si>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</si>
  <si>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</si>
  <si>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</si>
  <si>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</si>
  <si>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</si>
  <si>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</si>
  <si>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</si>
  <si>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</si>
  <si>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</si>
  <si>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</si>
  <si>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</si>
  <si>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</si>
  <si>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</si>
  <si>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</si>
  <si>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</si>
  <si>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</si>
  <si>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</si>
  <si>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</si>
  <si>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</si>
  <si>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</si>
  <si>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</si>
  <si>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</si>
  <si>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</si>
  <si>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</si>
  <si>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</si>
  <si>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</si>
  <si>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</si>
  <si>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</si>
  <si>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</si>
  <si>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</si>
  <si>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</si>
  <si>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</si>
  <si>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</si>
  <si>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</si>
  <si>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</si>
  <si>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</si>
  <si>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</si>
  <si>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</si>
  <si>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</si>
  <si>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</si>
  <si>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</si>
  <si>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</si>
  <si>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</si>
  <si>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</si>
  <si>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</si>
  <si>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</si>
  <si>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</si>
  <si>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</si>
  <si>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</si>
  <si>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</si>
  <si>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</si>
  <si>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</si>
  <si>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</si>
  <si>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</si>
  <si>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</si>
  <si>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</si>
  <si>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</si>
  <si>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</si>
  <si>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</si>
  <si>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</si>
  <si>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</si>
  <si>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</si>
  <si>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</si>
  <si>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</si>
  <si>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</si>
  <si>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</si>
  <si>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</si>
  <si>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</si>
  <si>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</si>
  <si>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</si>
  <si>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</si>
  <si>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</si>
  <si>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</si>
  <si>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</si>
  <si>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</si>
  <si>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</si>
  <si>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</si>
  <si>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</si>
  <si>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</si>
  <si>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</si>
  <si>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</si>
  <si>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</si>
  <si>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</si>
  <si>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</si>
  <si>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</si>
  <si>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</si>
  <si>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</si>
  <si>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</si>
  <si>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</si>
  <si>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</si>
  <si>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</si>
  <si>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</si>
  <si>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</si>
  <si>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</si>
  <si>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</si>
  <si>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</si>
  <si>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</si>
  <si>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</si>
  <si>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</si>
  <si>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</si>
  <si>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</si>
  <si>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</si>
  <si>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</si>
  <si>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</si>
  <si>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</si>
  <si>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</si>
  <si>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</si>
  <si>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</si>
  <si>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</si>
  <si>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</si>
  <si>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</si>
  <si>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</si>
  <si>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</si>
  <si>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</si>
  <si>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</si>
  <si>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</si>
  <si>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</si>
  <si>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</si>
  <si>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</si>
  <si>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</si>
  <si>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</si>
  <si>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</si>
  <si>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</si>
  <si>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</si>
  <si>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</si>
  <si>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</si>
  <si>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</si>
  <si>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</si>
  <si>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</si>
  <si>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</si>
  <si>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</si>
  <si>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</si>
  <si>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</si>
  <si>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</si>
  <si>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</si>
  <si>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</si>
  <si>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</si>
  <si>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</si>
  <si>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</si>
  <si>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</si>
  <si>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</si>
  <si>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</si>
  <si>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</si>
  <si>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</si>
  <si>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</si>
  <si>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</si>
  <si>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</si>
  <si>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</si>
  <si>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</si>
  <si>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</si>
  <si>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</si>
  <si>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</si>
  <si>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</si>
  <si>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</si>
  <si>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</si>
  <si>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</si>
  <si>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</si>
  <si>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</si>
  <si>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</si>
  <si>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</si>
  <si>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</si>
  <si>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</si>
  <si>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</si>
  <si>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</si>
  <si>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</si>
  <si>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</si>
  <si>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</si>
  <si>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</si>
  <si>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</si>
  <si>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</si>
  <si>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</si>
  <si>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</si>
  <si>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</si>
  <si>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</si>
  <si>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</si>
  <si>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</si>
  <si>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</si>
  <si>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</si>
  <si>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</si>
  <si>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</si>
  <si>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</si>
  <si>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</si>
  <si>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</si>
  <si>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</si>
  <si>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</si>
  <si>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</si>
  <si>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</si>
  <si>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</si>
  <si>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</si>
  <si>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</si>
  <si>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</si>
  <si>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</si>
  <si>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</si>
  <si>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</si>
  <si>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</si>
  <si>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</si>
  <si>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</si>
  <si>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</si>
  <si>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</si>
  <si>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</si>
  <si>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</si>
  <si>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</si>
  <si>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</si>
  <si>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</si>
  <si>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</si>
  <si>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</si>
  <si>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</si>
  <si>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</si>
  <si>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</si>
  <si>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</si>
  <si>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</si>
  <si>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</si>
  <si>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</si>
  <si>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</si>
  <si>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</si>
  <si>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</si>
  <si>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</si>
  <si>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</si>
  <si>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</si>
  <si>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</si>
  <si>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</si>
  <si>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</si>
  <si>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</si>
  <si>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</si>
  <si>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</si>
  <si>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</si>
  <si>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</si>
  <si>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</si>
  <si>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</si>
  <si>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</si>
  <si>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</si>
  <si>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</si>
  <si>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</si>
  <si>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</si>
  <si>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</si>
  <si>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</si>
  <si>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</si>
  <si>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</si>
  <si>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</si>
  <si>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</si>
  <si>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</si>
  <si>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</si>
  <si>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</si>
  <si>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</si>
  <si>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</si>
  <si>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</si>
  <si>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</si>
  <si>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</si>
  <si>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</si>
  <si>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</si>
  <si>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</si>
  <si>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</si>
  <si>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</si>
  <si>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</si>
  <si>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</si>
  <si>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</si>
  <si>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</si>
  <si>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</si>
  <si>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</si>
  <si>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</si>
  <si>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</si>
  <si>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</si>
  <si>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</si>
  <si>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</si>
  <si>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</si>
  <si>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</si>
  <si>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</si>
  <si>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</si>
  <si>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</si>
  <si>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</si>
  <si>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</si>
  <si>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</si>
  <si>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</si>
  <si>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</si>
  <si>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</si>
  <si>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</si>
  <si>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</si>
  <si>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</si>
  <si>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</si>
  <si>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</si>
  <si>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</si>
  <si>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</si>
  <si>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</si>
  <si>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</si>
  <si>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</si>
  <si>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</si>
  <si>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</si>
  <si>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</si>
  <si>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</si>
  <si>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</si>
  <si>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</si>
  <si>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</si>
  <si>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</si>
  <si>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</si>
  <si>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</si>
  <si>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</si>
  <si>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</si>
  <si>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</si>
  <si>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</si>
  <si>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</si>
  <si>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</si>
  <si>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</si>
  <si>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</si>
  <si>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</si>
  <si>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</si>
  <si>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</si>
  <si>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</si>
  <si>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</si>
  <si>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</si>
  <si>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</si>
  <si>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</si>
  <si>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</si>
  <si>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</si>
  <si>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</si>
  <si>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</si>
  <si>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</si>
  <si>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</si>
  <si>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</si>
  <si>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</si>
  <si>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</si>
  <si>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</si>
  <si>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</si>
  <si>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</si>
  <si>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</si>
  <si>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</si>
  <si>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</si>
  <si>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</si>
  <si>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</si>
  <si>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</si>
  <si>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</si>
  <si>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</si>
  <si>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</si>
  <si>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</si>
  <si>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</si>
  <si>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</si>
  <si>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</si>
  <si>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</si>
  <si>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</si>
  <si>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</si>
  <si>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</si>
  <si>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</si>
  <si>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</si>
  <si>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</si>
  <si>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</si>
  <si>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</si>
  <si>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</si>
  <si>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</si>
  <si>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</si>
  <si>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</si>
  <si>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</si>
  <si>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</si>
  <si>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</si>
  <si>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</si>
  <si>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</si>
  <si>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</si>
  <si>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</si>
  <si>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</si>
  <si>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</si>
  <si>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</si>
  <si>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</si>
  <si>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</si>
  <si>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</si>
  <si>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</si>
  <si>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</si>
  <si>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</si>
  <si>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</si>
  <si>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</si>
  <si>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</si>
  <si>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</si>
  <si>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</si>
  <si>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</si>
  <si>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</si>
  <si>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</si>
  <si>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</si>
  <si>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</si>
  <si>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</si>
  <si>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</si>
  <si>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</si>
  <si>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</si>
  <si>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</si>
  <si>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</si>
  <si>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</si>
  <si>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</si>
  <si>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</si>
  <si>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</si>
  <si>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</si>
  <si>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</si>
  <si>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</si>
  <si>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</si>
  <si>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</si>
  <si>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</si>
  <si>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</si>
  <si>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</si>
  <si>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</si>
  <si>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</si>
  <si>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</si>
  <si>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</si>
  <si>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</si>
  <si>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</si>
  <si>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</si>
  <si>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</si>
  <si>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</si>
  <si>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</si>
  <si>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</si>
  <si>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</si>
  <si>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</si>
  <si>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</si>
  <si>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</si>
  <si>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</si>
  <si>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</si>
  <si>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</si>
  <si>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</si>
  <si>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</si>
  <si>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</si>
  <si>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</si>
  <si>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</si>
  <si>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</si>
  <si>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</si>
  <si>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</si>
  <si>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</si>
  <si>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</si>
  <si>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</si>
  <si>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</si>
  <si>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</si>
  <si>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</si>
  <si>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</si>
  <si>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</si>
  <si>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</si>
  <si>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</si>
  <si>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</si>
  <si>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</si>
  <si>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</si>
  <si>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</si>
  <si>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</si>
  <si>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</si>
  <si>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</si>
  <si>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</si>
  <si>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</si>
  <si>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</si>
  <si>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</si>
  <si>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</si>
  <si>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</si>
  <si>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</si>
  <si>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</si>
  <si>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</si>
  <si>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</si>
  <si>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</si>
  <si>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</si>
  <si>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</si>
  <si>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</si>
  <si>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</si>
  <si>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</si>
  <si>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</si>
  <si>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</si>
  <si>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</si>
  <si>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</si>
  <si>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</si>
  <si>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</si>
  <si>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</si>
  <si>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</si>
  <si>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</si>
  <si>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</si>
  <si>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</si>
  <si>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</si>
  <si>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</si>
  <si>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</si>
  <si>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</si>
  <si>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</si>
  <si>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</si>
  <si>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</si>
  <si>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</si>
  <si>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</si>
  <si>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</si>
  <si>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</si>
  <si>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</si>
  <si>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</si>
  <si>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</si>
  <si>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</si>
  <si>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</si>
  <si>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</si>
  <si>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</si>
  <si>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</si>
  <si>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</si>
  <si>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</si>
  <si>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</si>
  <si>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</si>
  <si>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</si>
  <si>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</si>
  <si>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</si>
  <si>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</si>
  <si>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</si>
  <si>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</si>
  <si>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</si>
  <si>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</si>
  <si>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</si>
  <si>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</si>
  <si>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</si>
  <si>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</si>
  <si>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</si>
  <si>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</si>
  <si>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</si>
  <si>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</si>
  <si>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</si>
  <si>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</si>
  <si>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</si>
  <si>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</si>
  <si>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</si>
  <si>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</si>
  <si>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</si>
  <si>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</si>
  <si>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</si>
  <si>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</si>
  <si>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</si>
  <si>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</si>
  <si>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</si>
  <si>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</si>
  <si>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</si>
  <si>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</si>
  <si>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</si>
  <si>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</si>
  <si>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</si>
  <si>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</si>
  <si>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</si>
  <si>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</si>
  <si>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</si>
  <si>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</si>
  <si>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</si>
  <si>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</si>
  <si>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</si>
  <si>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</si>
  <si>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</si>
  <si>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</si>
  <si>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</si>
  <si>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</si>
  <si>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</si>
  <si>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</si>
  <si>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</si>
  <si>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</si>
  <si>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</si>
  <si>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</si>
  <si>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</si>
  <si>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</si>
  <si>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</si>
  <si>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</si>
  <si>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</si>
  <si>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</si>
  <si>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</si>
  <si>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</si>
  <si>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</si>
  <si>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</si>
  <si>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</si>
  <si>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</si>
  <si>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</si>
  <si>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</si>
  <si>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</si>
  <si>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</si>
  <si>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</si>
  <si>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</si>
  <si>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</si>
  <si>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</si>
  <si>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</si>
  <si>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</si>
  <si>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</si>
  <si>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</si>
  <si>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</si>
  <si>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</si>
  <si>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</si>
  <si>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</si>
  <si>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</si>
  <si>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</si>
  <si>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</si>
  <si>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</si>
  <si>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</si>
  <si>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</si>
  <si>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</si>
  <si>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</si>
  <si>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</si>
  <si>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</si>
  <si>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</si>
  <si>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</si>
  <si>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</si>
  <si>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</si>
  <si>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</si>
  <si>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</si>
  <si>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</si>
  <si>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</si>
  <si>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</si>
  <si>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</si>
  <si>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</si>
  <si>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</si>
  <si>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</si>
  <si>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</si>
  <si>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</si>
  <si>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</si>
  <si>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</si>
  <si>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</si>
  <si>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</si>
  <si>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</si>
  <si>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</si>
  <si>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</si>
  <si>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</si>
  <si>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</si>
  <si>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</si>
  <si>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</si>
  <si>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</si>
  <si>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</si>
  <si>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</si>
  <si>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</si>
  <si>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</si>
  <si>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</si>
  <si>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</si>
  <si>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</si>
  <si>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</si>
  <si>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</si>
  <si>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</si>
  <si>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</si>
  <si>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</si>
  <si>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</si>
  <si>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</si>
  <si>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</si>
  <si>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</si>
  <si>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</si>
  <si>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</si>
  <si>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</si>
  <si>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</si>
  <si>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</si>
  <si>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</si>
  <si>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</si>
  <si>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</si>
  <si>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</si>
  <si>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</si>
  <si>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</si>
  <si>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</si>
  <si>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</si>
  <si>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</si>
  <si>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</si>
  <si>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</si>
  <si>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</si>
  <si>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</si>
  <si>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</si>
  <si>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</si>
  <si>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</si>
  <si>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</si>
  <si>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</si>
  <si>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</si>
  <si>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</si>
  <si>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</si>
  <si>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</si>
  <si>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</si>
  <si>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</si>
  <si>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</si>
  <si>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</si>
  <si>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</si>
  <si>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</si>
  <si>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</si>
  <si>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</si>
  <si>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</si>
  <si>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</si>
  <si>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</si>
  <si>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</si>
  <si>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</si>
  <si>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</si>
  <si>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</si>
  <si>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</si>
  <si>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</si>
  <si>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</si>
  <si>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</si>
  <si>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</si>
  <si>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</si>
  <si>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</si>
  <si>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</si>
  <si>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</si>
  <si>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</si>
  <si>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</si>
  <si>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</si>
  <si>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</si>
  <si>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</si>
  <si>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</si>
  <si>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</si>
  <si>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</si>
  <si>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</si>
  <si>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</si>
  <si>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</si>
  <si>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</si>
  <si>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</si>
  <si>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</si>
  <si>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</si>
  <si>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</si>
  <si>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</si>
  <si>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</si>
  <si>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</si>
  <si>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</si>
  <si>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</si>
  <si>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</si>
  <si>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</si>
  <si>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</si>
  <si>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</si>
  <si>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</si>
  <si>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</si>
  <si>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</si>
  <si>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</si>
  <si>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</si>
  <si>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</si>
  <si>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</si>
  <si>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</si>
  <si>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</si>
  <si>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</si>
  <si>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</si>
  <si>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</si>
  <si>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</si>
  <si>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</si>
  <si>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</si>
  <si>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</si>
  <si>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</si>
  <si>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</si>
  <si>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</si>
  <si>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</si>
  <si>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</si>
  <si>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</si>
  <si>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</si>
  <si>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</si>
  <si>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</si>
  <si>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</si>
  <si>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</si>
  <si>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</si>
  <si>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</si>
  <si>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</si>
  <si>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</si>
  <si>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</si>
  <si>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</si>
  <si>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</si>
  <si>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</si>
  <si>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</si>
  <si>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</si>
  <si>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</si>
  <si>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</si>
  <si>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</si>
  <si>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</si>
  <si>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</si>
  <si>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</si>
  <si>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</si>
  <si>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</si>
  <si>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</si>
  <si>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</si>
  <si>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</si>
  <si>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</si>
  <si>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</si>
  <si>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</si>
  <si>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</si>
  <si>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</si>
  <si>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</si>
  <si>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</si>
  <si>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</si>
  <si>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</si>
  <si>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</si>
  <si>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</si>
  <si>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</si>
  <si>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</si>
  <si>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</si>
  <si>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</si>
  <si>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</si>
  <si>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</si>
  <si>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</si>
  <si>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</si>
  <si>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</si>
  <si>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</si>
  <si>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</si>
  <si>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</si>
  <si>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</si>
  <si>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</si>
  <si>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</si>
  <si>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</si>
  <si>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</si>
  <si>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</si>
  <si>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</si>
  <si>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</si>
  <si>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</si>
  <si>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</si>
  <si>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</si>
  <si>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</si>
  <si>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</si>
  <si>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</si>
  <si>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</si>
  <si>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</si>
  <si>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</si>
  <si>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</si>
  <si>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</si>
  <si>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</si>
  <si>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</si>
  <si>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</si>
  <si>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</si>
  <si>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</si>
  <si>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</si>
  <si>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</si>
  <si>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</si>
  <si>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</si>
  <si>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</si>
  <si>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</si>
  <si>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</si>
  <si>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</si>
  <si>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</si>
  <si>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</si>
  <si>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</si>
  <si>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</si>
  <si>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</si>
  <si>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</si>
  <si>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</si>
  <si>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</si>
  <si>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</si>
  <si>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</si>
  <si>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</si>
  <si>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</si>
  <si>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</si>
  <si>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</si>
  <si>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</si>
  <si>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</si>
  <si>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</si>
  <si>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</si>
  <si>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</si>
  <si>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</si>
  <si>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</si>
  <si>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</si>
  <si>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</si>
  <si>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</si>
  <si>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</si>
  <si>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</si>
  <si>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</si>
  <si>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</si>
  <si>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</si>
  <si>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</si>
  <si>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</si>
  <si>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</si>
  <si>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</si>
  <si>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</si>
  <si>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</si>
  <si>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</si>
  <si>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</si>
  <si>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</si>
  <si>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</si>
  <si>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</si>
  <si>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</si>
  <si>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</si>
  <si>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</si>
  <si>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</si>
  <si>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</si>
  <si>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</si>
  <si>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</si>
  <si>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</si>
  <si>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</si>
  <si>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</si>
  <si>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</si>
  <si>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</si>
  <si>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</si>
  <si>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</si>
  <si>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</si>
  <si>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</si>
  <si>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</si>
  <si>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</si>
  <si>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</si>
  <si>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</si>
  <si>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</si>
  <si>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</si>
  <si>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</si>
  <si>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</si>
  <si>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</si>
  <si>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</si>
  <si>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</si>
  <si>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</si>
  <si>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</si>
  <si>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</si>
  <si>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</si>
  <si>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</si>
  <si>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</si>
  <si>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</si>
  <si>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</si>
  <si>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</si>
  <si>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</si>
  <si>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</si>
  <si>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</si>
  <si>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</si>
  <si>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</si>
  <si>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</si>
  <si>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</si>
  <si>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</si>
  <si>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</si>
  <si>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</si>
  <si>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</si>
  <si>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</si>
  <si>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</si>
  <si>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</si>
  <si>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</si>
  <si>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</si>
  <si>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</si>
  <si>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</si>
  <si>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</si>
  <si>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</si>
  <si>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</si>
  <si>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</si>
  <si>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</si>
  <si>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</si>
  <si>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</si>
  <si>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</si>
  <si>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</si>
  <si>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</si>
  <si>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</si>
  <si>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</si>
  <si>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</si>
  <si>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</si>
  <si>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</si>
  <si>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</si>
  <si>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</si>
  <si>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</si>
  <si>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</si>
  <si>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</si>
  <si>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</si>
  <si>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</si>
  <si>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</si>
  <si>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</si>
  <si>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</si>
  <si>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</si>
  <si>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</si>
  <si>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</si>
  <si>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</si>
  <si>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</si>
  <si>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</si>
  <si>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</si>
  <si>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</si>
  <si>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</si>
  <si>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</si>
  <si>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</si>
  <si>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</si>
  <si>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</si>
  <si>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</si>
  <si>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</si>
  <si>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</si>
  <si>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</si>
  <si>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</si>
  <si>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</si>
  <si>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</si>
  <si>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</si>
  <si>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</si>
  <si>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</si>
  <si>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</si>
  <si>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</si>
  <si>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</si>
  <si>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</si>
  <si>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</si>
  <si>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</si>
  <si>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</si>
  <si>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</si>
  <si>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</si>
  <si>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</si>
  <si>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</si>
  <si>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</si>
  <si>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</si>
  <si>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</si>
  <si>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</si>
  <si>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</si>
  <si>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</si>
  <si>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</si>
  <si>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</si>
  <si>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</si>
  <si>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</si>
  <si>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</si>
  <si>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</si>
  <si>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</si>
  <si>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</si>
  <si>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</si>
  <si>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</si>
  <si>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</si>
  <si>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</si>
  <si>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</si>
  <si>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</si>
  <si>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</si>
  <si>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</si>
  <si>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</si>
  <si>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</si>
  <si>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</si>
  <si>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</si>
  <si>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</si>
  <si>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</si>
  <si>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</si>
  <si>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</si>
  <si>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</si>
  <si>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</si>
  <si>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</si>
  <si>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</si>
  <si>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</si>
  <si>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</si>
  <si>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</si>
  <si>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</si>
  <si>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</si>
  <si>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</si>
  <si>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</si>
  <si>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</si>
  <si>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</si>
  <si>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</si>
  <si>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</si>
  <si>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</si>
  <si>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</si>
  <si>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</si>
  <si>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</si>
  <si>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</si>
  <si>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</si>
  <si>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</si>
  <si>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</si>
  <si>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</si>
  <si>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</si>
  <si>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</si>
  <si>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</si>
  <si>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</si>
  <si>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</si>
  <si>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</si>
  <si>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</si>
  <si>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</si>
  <si>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</si>
  <si>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</si>
  <si>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</si>
  <si>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</si>
  <si>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</si>
  <si>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</si>
  <si>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</si>
  <si>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</si>
  <si>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</si>
  <si>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</si>
  <si>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</si>
  <si>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</si>
  <si>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</si>
  <si>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</si>
  <si>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</si>
  <si>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</si>
  <si>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</si>
  <si>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</si>
  <si>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</si>
  <si>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</si>
  <si>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</si>
  <si>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</si>
  <si>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</si>
  <si>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</si>
  <si>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</si>
  <si>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</si>
  <si>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</si>
  <si>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</si>
  <si>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</si>
  <si>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</si>
  <si>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</si>
  <si>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</si>
  <si>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</si>
  <si>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</si>
  <si>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</si>
  <si>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</si>
  <si>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</si>
  <si>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</si>
  <si>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</si>
  <si>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</si>
  <si>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</si>
  <si>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</si>
  <si>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</si>
  <si>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</si>
  <si>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</si>
  <si>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</si>
  <si>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</si>
  <si>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</si>
  <si>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</si>
  <si>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</si>
  <si>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</si>
  <si>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</si>
  <si>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</si>
  <si>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</si>
  <si>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</si>
  <si>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</si>
  <si>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</si>
  <si>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</si>
  <si>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</si>
  <si>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</si>
  <si>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</si>
  <si>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</si>
  <si>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</si>
  <si>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</si>
  <si>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</si>
  <si>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</si>
  <si>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</si>
  <si>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</si>
  <si>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</si>
  <si>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</si>
  <si>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</si>
  <si>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</si>
  <si>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</si>
  <si>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</si>
  <si>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</si>
  <si>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</si>
  <si>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</si>
  <si>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</si>
  <si>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</si>
  <si>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</si>
  <si>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</si>
  <si>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</si>
  <si>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</si>
  <si>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</si>
  <si>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</si>
  <si>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</si>
  <si>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</si>
  <si>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</si>
  <si>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</si>
  <si>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</si>
  <si>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</si>
  <si>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</si>
  <si>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</si>
  <si>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</si>
  <si>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</si>
  <si>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</si>
  <si>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</si>
  <si>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</si>
  <si>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</si>
  <si>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</si>
  <si>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</si>
  <si>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</si>
  <si>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</si>
  <si>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</si>
  <si>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</si>
  <si>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</si>
  <si>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</si>
  <si>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</si>
  <si>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</si>
  <si>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</si>
  <si>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</si>
  <si>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</si>
  <si>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</si>
  <si>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</si>
  <si>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</si>
  <si>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</si>
  <si>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</si>
  <si>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</si>
  <si>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</si>
  <si>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</si>
  <si>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</si>
  <si>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</si>
  <si>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</si>
  <si>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</si>
  <si>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</si>
  <si>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</si>
  <si>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</si>
  <si>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</si>
  <si>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</si>
  <si>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</si>
  <si>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</si>
  <si>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</si>
  <si>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</si>
  <si>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</si>
  <si>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</si>
  <si>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</si>
  <si>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</si>
  <si>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</si>
  <si>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</si>
  <si>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</si>
  <si>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</si>
  <si>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</si>
  <si>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</si>
  <si>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</si>
  <si>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</si>
  <si>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</si>
  <si>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</si>
  <si>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</si>
  <si>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</si>
  <si>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</si>
  <si>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</si>
  <si>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</si>
  <si>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</si>
  <si>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</si>
  <si>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</si>
  <si>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</si>
  <si>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</si>
  <si>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</si>
  <si>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</si>
  <si>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</si>
  <si>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</si>
  <si>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</si>
  <si>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</si>
  <si>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</si>
  <si>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</si>
  <si>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</si>
  <si>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</si>
  <si>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</si>
  <si>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</si>
  <si>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</si>
  <si>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</si>
  <si>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</si>
  <si>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</si>
  <si>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</si>
  <si>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</si>
  <si>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</si>
  <si>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</si>
  <si>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</si>
  <si>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</si>
  <si>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</si>
  <si>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</si>
  <si>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</si>
  <si>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</si>
  <si>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</si>
  <si>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</si>
  <si>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</si>
  <si>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</si>
  <si>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</si>
  <si>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</si>
  <si>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</si>
  <si>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</si>
  <si>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</si>
  <si>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</si>
  <si>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</si>
  <si>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</si>
  <si>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</si>
  <si>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</si>
  <si>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</si>
  <si>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</si>
  <si>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</si>
  <si>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</si>
  <si>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</si>
  <si>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</si>
  <si>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</si>
  <si>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</si>
  <si>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</si>
  <si>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</si>
  <si>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</si>
  <si>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</si>
  <si>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</si>
  <si>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</si>
  <si>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</si>
  <si>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</si>
  <si>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</si>
  <si>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</si>
  <si>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</si>
  <si>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</si>
  <si>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</si>
  <si>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</si>
  <si>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</si>
  <si>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</si>
  <si>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</si>
  <si>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</si>
  <si>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</si>
  <si>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</si>
  <si>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</si>
  <si>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</si>
  <si>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</si>
  <si>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</si>
  <si>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</si>
  <si>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</si>
  <si>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</si>
  <si>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</si>
  <si>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</si>
  <si>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</si>
  <si>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</si>
  <si>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</si>
  <si>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</si>
  <si>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</si>
  <si>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</si>
  <si>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</si>
  <si>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</si>
  <si>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</si>
  <si>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</si>
  <si>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</si>
  <si>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</si>
  <si>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</si>
  <si>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</si>
  <si>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</si>
  <si>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</si>
  <si>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</si>
  <si>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</si>
  <si>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</si>
  <si>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</si>
  <si>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</si>
  <si>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</si>
  <si>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</si>
  <si>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</si>
  <si>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</si>
  <si>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</si>
  <si>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</si>
  <si>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</si>
  <si>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</si>
  <si>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</si>
  <si>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</si>
  <si>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</si>
  <si>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</si>
  <si>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</si>
  <si>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</si>
  <si>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</si>
  <si>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</si>
  <si>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</si>
  <si>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</si>
  <si>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</si>
  <si>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</si>
  <si>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</si>
  <si>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</si>
  <si>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</si>
  <si>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</si>
  <si>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</si>
  <si>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</si>
  <si>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</si>
  <si>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</si>
  <si>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</si>
  <si>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</si>
  <si>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</si>
  <si>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</si>
  <si>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</si>
  <si>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</si>
  <si>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</si>
  <si>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</si>
  <si>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</si>
  <si>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</si>
  <si>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</si>
  <si>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</si>
  <si>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</si>
  <si>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</si>
  <si>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</si>
  <si>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</si>
  <si>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</si>
  <si>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</si>
  <si>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</si>
  <si>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</si>
  <si>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</si>
  <si>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</si>
  <si>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</si>
  <si>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</si>
  <si>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</si>
  <si>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</si>
  <si>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</si>
  <si>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</si>
  <si>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</si>
  <si>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</si>
  <si>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</si>
  <si>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</si>
  <si>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</si>
  <si>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</si>
  <si>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</si>
  <si>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</si>
  <si>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</si>
  <si>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</si>
  <si>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</si>
  <si>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</si>
  <si>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</si>
  <si>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</si>
  <si>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</si>
  <si>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</si>
  <si>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</si>
  <si>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</si>
  <si>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</si>
  <si>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</si>
  <si>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</si>
  <si>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</si>
  <si>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</si>
  <si>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</si>
  <si>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</si>
  <si>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</si>
  <si>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</si>
  <si>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</si>
  <si>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</si>
  <si>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</si>
  <si>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</si>
  <si>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</si>
  <si>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</si>
  <si>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</si>
  <si>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</si>
  <si>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</si>
  <si>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</si>
  <si>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</si>
  <si>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</si>
  <si>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</si>
  <si>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</si>
  <si>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</si>
  <si>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</si>
  <si>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</si>
  <si>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</si>
  <si>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</si>
  <si>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</si>
  <si>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</si>
  <si>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</si>
  <si>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</si>
  <si>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</si>
  <si>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</si>
  <si>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</si>
  <si>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</si>
  <si>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</si>
  <si>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</si>
  <si>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</si>
  <si>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</si>
  <si>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</si>
  <si>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</si>
  <si>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</si>
  <si>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</si>
  <si>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</si>
  <si>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</si>
  <si>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</si>
  <si>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</si>
  <si>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</si>
  <si>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</si>
  <si>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</si>
  <si>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</si>
  <si>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</si>
  <si>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</si>
  <si>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</si>
  <si>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</si>
  <si>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</si>
  <si>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</si>
  <si>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</si>
  <si>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</si>
  <si>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</si>
  <si>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</si>
  <si>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</si>
  <si>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</si>
  <si>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</si>
  <si>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</si>
  <si>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</si>
  <si>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</si>
  <si>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</si>
  <si>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</si>
  <si>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</si>
  <si>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</si>
  <si>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</si>
  <si>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</si>
  <si>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</si>
  <si>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</si>
  <si>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</si>
  <si>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</si>
  <si>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</si>
  <si>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</si>
  <si>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</si>
  <si>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</si>
  <si>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</si>
  <si>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</si>
  <si>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</si>
  <si>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</si>
  <si>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</si>
  <si>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</si>
  <si>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</si>
  <si>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</si>
  <si>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</si>
  <si>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</si>
  <si>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</si>
  <si>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</si>
  <si>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</si>
  <si>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</si>
  <si>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</si>
  <si>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</si>
  <si>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</si>
  <si>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</si>
  <si>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</si>
  <si>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</si>
  <si>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</si>
  <si>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</si>
  <si>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</si>
  <si>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</si>
  <si>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</si>
  <si>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</si>
  <si>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</si>
  <si>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</si>
  <si>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</si>
  <si>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</si>
  <si>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</si>
  <si>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</si>
  <si>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</si>
  <si>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</si>
  <si>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</si>
  <si>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</si>
  <si>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</si>
  <si>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</si>
  <si>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</si>
  <si>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</si>
  <si>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</si>
  <si>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</si>
  <si>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</si>
  <si>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</si>
  <si>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</si>
  <si>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</si>
  <si>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</si>
  <si>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</si>
  <si>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</si>
  <si>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</si>
  <si>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</si>
  <si>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</si>
  <si>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</si>
  <si>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</si>
  <si>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</si>
  <si>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</si>
  <si>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</si>
  <si>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</si>
  <si>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</si>
  <si>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</si>
  <si>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</si>
  <si>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</si>
  <si>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</si>
  <si>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</si>
  <si>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</si>
  <si>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</si>
  <si>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</si>
  <si>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</si>
  <si>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</si>
  <si>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</si>
  <si>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</si>
  <si>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</si>
  <si>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</si>
  <si>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</si>
  <si>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</si>
  <si>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</si>
  <si>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</si>
  <si>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</si>
  <si>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</si>
  <si>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</si>
  <si>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</si>
  <si>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</si>
  <si>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</si>
  <si>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</si>
  <si>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</si>
  <si>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</si>
  <si>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</si>
  <si>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</si>
  <si>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</si>
  <si>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</si>
  <si>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</si>
  <si>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</si>
  <si>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</si>
  <si>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</si>
  <si>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</si>
  <si>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</si>
  <si>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</si>
  <si>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</si>
  <si>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</si>
  <si>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</si>
  <si>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</si>
  <si>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</si>
  <si>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</si>
  <si>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</si>
  <si>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</si>
  <si>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</si>
  <si>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</si>
  <si>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</si>
  <si>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</si>
  <si>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</si>
  <si>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</si>
  <si>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</si>
  <si>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</si>
  <si>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</si>
  <si>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</si>
  <si>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</si>
  <si>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</si>
  <si>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</si>
  <si>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</si>
  <si>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</si>
  <si>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</si>
  <si>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</si>
  <si>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</si>
  <si>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</si>
  <si>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</si>
  <si>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</si>
  <si>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</si>
  <si>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</si>
  <si>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</si>
  <si>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</si>
  <si>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</si>
  <si>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</si>
  <si>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</si>
  <si>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</si>
  <si>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</si>
  <si>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</si>
  <si>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</si>
  <si>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</si>
  <si>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</si>
  <si>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</si>
  <si>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</si>
  <si>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</si>
  <si>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</si>
  <si>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</si>
  <si>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</si>
  <si>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</si>
  <si>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</si>
  <si>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</si>
  <si>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</si>
  <si>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</si>
  <si>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</si>
  <si>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</si>
  <si>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</si>
  <si>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</si>
  <si>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</si>
  <si>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</si>
  <si>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</si>
  <si>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</si>
  <si>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</si>
  <si>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</si>
  <si>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</si>
  <si>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</si>
  <si>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</si>
  <si>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</si>
  <si>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</si>
  <si>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</si>
  <si>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</si>
  <si>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</si>
  <si>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</si>
  <si>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</si>
  <si>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</si>
  <si>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</si>
  <si>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</si>
  <si>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</si>
  <si>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</si>
  <si>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</si>
  <si>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</si>
  <si>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</si>
  <si>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</si>
  <si>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</si>
  <si>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</si>
  <si>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</si>
  <si>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</si>
  <si>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</si>
  <si>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</si>
  <si>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</si>
  <si>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</si>
  <si>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</si>
  <si>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</si>
  <si>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</si>
  <si>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</si>
  <si>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</si>
  <si>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</si>
  <si>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</si>
  <si>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</si>
  <si>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</si>
  <si>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</si>
  <si>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</si>
  <si>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</si>
  <si>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</si>
  <si>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</si>
  <si>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</si>
  <si>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</si>
  <si>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</si>
  <si>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</si>
  <si>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</si>
  <si>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</si>
  <si>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</si>
  <si>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</si>
  <si>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</si>
  <si>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</si>
  <si>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</si>
  <si>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</si>
  <si>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</si>
  <si>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</si>
  <si>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</si>
  <si>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</si>
  <si>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</si>
  <si>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</si>
  <si>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</si>
  <si>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</si>
  <si>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</si>
  <si>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</si>
  <si>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</si>
  <si>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</si>
  <si>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</si>
  <si>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</si>
  <si>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</si>
  <si>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</si>
  <si>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</si>
  <si>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</si>
  <si>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</si>
  <si>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</si>
  <si>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</si>
  <si>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</si>
  <si>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</si>
  <si>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</si>
  <si>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</si>
  <si>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</si>
  <si>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</si>
  <si>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</si>
  <si>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</si>
  <si>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</si>
  <si>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</si>
  <si>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</si>
  <si>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</si>
  <si>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</si>
  <si>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</si>
  <si>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</si>
  <si>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</si>
  <si>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</si>
  <si>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</si>
  <si>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</si>
  <si>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</si>
  <si>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</si>
  <si>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</si>
  <si>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</si>
  <si>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</si>
  <si>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</si>
  <si>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</si>
  <si>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</si>
  <si>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</si>
  <si>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</si>
  <si>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</si>
  <si>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</si>
  <si>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</si>
  <si>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</si>
  <si>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</si>
  <si>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</si>
  <si>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</si>
  <si>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</si>
  <si>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</si>
  <si>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</si>
  <si>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</si>
  <si>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</si>
  <si>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</si>
  <si>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</si>
  <si>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</si>
  <si>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</si>
  <si>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</si>
  <si>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</si>
  <si>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</si>
  <si>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</si>
  <si>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</si>
  <si>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</si>
  <si>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</si>
  <si>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</si>
  <si>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</si>
  <si>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</si>
  <si>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</si>
  <si>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</si>
  <si>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</si>
  <si>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</si>
  <si>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</si>
  <si>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</si>
  <si>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</si>
  <si>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</si>
  <si>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</si>
  <si>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</si>
  <si>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</si>
  <si>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</si>
  <si>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</si>
  <si>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</si>
  <si>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</si>
  <si>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</si>
  <si>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</si>
  <si>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</si>
  <si>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</si>
  <si>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</si>
  <si>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</si>
  <si>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</si>
  <si>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</si>
  <si>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</si>
  <si>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</si>
  <si>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</si>
  <si>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</si>
  <si>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</si>
  <si>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</si>
  <si>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</si>
  <si>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</si>
  <si>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</si>
  <si>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</si>
  <si>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</si>
  <si>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</si>
  <si>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</si>
  <si>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</si>
  <si>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</si>
  <si>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</si>
  <si>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</si>
  <si>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</si>
  <si>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</si>
  <si>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</si>
  <si>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</si>
  <si>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</si>
  <si>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</si>
  <si>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</si>
  <si>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</si>
  <si>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</si>
  <si>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</si>
  <si>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</si>
  <si>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</si>
  <si>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</si>
  <si>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</si>
  <si>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</si>
  <si>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</si>
  <si>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</si>
  <si>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</si>
  <si>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</si>
  <si>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</si>
  <si>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</si>
  <si>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</si>
  <si>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</si>
  <si>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</si>
  <si>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</si>
  <si>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</si>
  <si>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</si>
  <si>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</si>
  <si>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</si>
  <si>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</si>
  <si>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</si>
  <si>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</si>
  <si>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</si>
  <si>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</si>
  <si>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</si>
  <si>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</si>
  <si>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</si>
  <si>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</si>
  <si>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</si>
  <si>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</si>
  <si>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</si>
  <si>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</si>
  <si>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</si>
  <si>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</si>
  <si>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</si>
  <si>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</si>
  <si>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</si>
  <si>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</si>
  <si>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</si>
  <si>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</si>
  <si>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</si>
  <si>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</si>
  <si>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</si>
  <si>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</si>
  <si>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</si>
  <si>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</si>
  <si>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</si>
  <si>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</si>
  <si>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</si>
  <si>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</si>
  <si>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</si>
  <si>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</si>
  <si>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</si>
  <si>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</si>
  <si>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</si>
  <si>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</si>
  <si>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</si>
  <si>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</si>
  <si>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</si>
  <si>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</si>
  <si>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</si>
  <si>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</si>
  <si>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</si>
  <si>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</si>
  <si>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</si>
  <si>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</si>
  <si>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</si>
  <si>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</si>
  <si>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</si>
  <si>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</si>
  <si>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</si>
  <si>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</si>
  <si>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</si>
  <si>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</si>
  <si>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</si>
  <si>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</si>
  <si>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</si>
  <si>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</si>
  <si>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</si>
  <si>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</si>
  <si>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</si>
  <si>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</si>
  <si>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</si>
  <si>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</si>
  <si>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</si>
  <si>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</si>
  <si>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</si>
  <si>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</si>
  <si>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</si>
  <si>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</si>
  <si>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</si>
  <si>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</si>
  <si>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</si>
  <si>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</si>
  <si>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</si>
  <si>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</si>
  <si>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</si>
  <si>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</si>
  <si>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</si>
  <si>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</si>
  <si>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</si>
  <si>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</si>
  <si>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</si>
  <si>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</si>
  <si>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</si>
  <si>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</si>
  <si>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</si>
  <si>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</si>
  <si>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</si>
  <si>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</si>
  <si>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</si>
  <si>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</si>
  <si>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</si>
  <si>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</si>
  <si>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</si>
  <si>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</si>
  <si>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</si>
  <si>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</si>
  <si>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</si>
  <si>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</si>
  <si>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</si>
  <si>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</si>
  <si>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</si>
  <si>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</si>
  <si>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</si>
  <si>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</si>
  <si>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</si>
  <si>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</si>
  <si>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</si>
  <si>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</si>
  <si>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</si>
  <si>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</si>
  <si>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</si>
  <si>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</si>
  <si>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</si>
  <si>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</si>
  <si>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</si>
  <si>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</si>
  <si>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</si>
  <si>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</si>
  <si>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</si>
  <si>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</si>
  <si>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</si>
  <si>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</si>
  <si>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</si>
  <si>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</si>
  <si>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</si>
  <si>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</si>
  <si>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</si>
  <si>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</si>
  <si>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</si>
  <si>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</si>
  <si>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</si>
  <si>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</si>
  <si>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</si>
  <si>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</si>
  <si>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</si>
  <si>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</si>
  <si>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</si>
  <si>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</si>
  <si>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</si>
  <si>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</si>
  <si>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</si>
  <si>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</si>
  <si>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</si>
  <si>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</si>
  <si>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</si>
  <si>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</si>
  <si>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</si>
  <si>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</si>
  <si>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</si>
  <si>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</si>
  <si>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</si>
  <si>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</si>
  <si>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</si>
  <si>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</si>
  <si>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</si>
  <si>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</si>
  <si>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</si>
  <si>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</si>
  <si>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</si>
  <si>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</si>
  <si>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</si>
  <si>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</si>
  <si>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</si>
  <si>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</si>
  <si>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</si>
  <si>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</si>
  <si>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</si>
  <si>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</si>
  <si>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</si>
  <si>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</si>
  <si>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</si>
  <si>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</si>
  <si>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</si>
  <si>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</si>
  <si>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</si>
  <si>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</si>
  <si>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</si>
  <si>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</si>
  <si>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</si>
  <si>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</si>
  <si>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</si>
  <si>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</si>
  <si>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</si>
  <si>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</si>
  <si>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</si>
  <si>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</si>
  <si>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</si>
  <si>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</si>
  <si>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</si>
  <si>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</si>
  <si>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</si>
  <si>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</si>
  <si>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</si>
  <si>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</si>
  <si>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</si>
  <si>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</si>
  <si>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</si>
  <si>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</si>
  <si>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</si>
  <si>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</si>
  <si>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</si>
  <si>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</si>
  <si>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</si>
  <si>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</si>
  <si>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</si>
  <si>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</si>
  <si>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</si>
  <si>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</si>
  <si>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</si>
  <si>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</si>
  <si>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</si>
  <si>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</si>
  <si>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</si>
  <si>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</si>
  <si>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</si>
  <si>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</si>
  <si>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</si>
  <si>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</si>
  <si>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</si>
  <si>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</si>
  <si>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</si>
  <si>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</si>
  <si>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</si>
  <si>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</si>
  <si>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</si>
  <si>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</si>
  <si>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</si>
  <si>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</si>
  <si>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</si>
  <si>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</si>
  <si>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</si>
  <si>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</si>
  <si>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</si>
  <si>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</si>
  <si>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</si>
  <si>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</si>
  <si>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</si>
  <si>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</si>
  <si>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</si>
  <si>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</si>
  <si>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</si>
  <si>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</si>
  <si>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</si>
  <si>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</si>
  <si>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</si>
  <si>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</si>
  <si>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</si>
  <si>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</si>
  <si>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</si>
  <si>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</si>
  <si>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</si>
  <si>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</si>
  <si>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</si>
  <si>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</si>
  <si>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</si>
  <si>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</si>
  <si>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</si>
  <si>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</si>
  <si>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</si>
  <si>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</si>
  <si>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</si>
  <si>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</si>
  <si>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</si>
  <si>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</si>
  <si>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</si>
  <si>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</si>
  <si>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</si>
  <si>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</si>
  <si>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</si>
  <si>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</si>
  <si>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</si>
  <si>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</si>
  <si>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</si>
  <si>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</si>
  <si>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</si>
  <si>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</si>
  <si>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</si>
  <si>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</si>
  <si>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</si>
  <si>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</si>
  <si>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</si>
  <si>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</si>
  <si>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</si>
  <si>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</si>
  <si>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</si>
  <si>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</si>
  <si>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</si>
  <si>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</si>
  <si>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</si>
  <si>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</si>
  <si>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</si>
  <si>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</si>
  <si>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</si>
  <si>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</si>
  <si>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</si>
  <si>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</si>
  <si>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</si>
  <si>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</si>
  <si>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</si>
  <si>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</si>
  <si>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</si>
  <si>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</si>
  <si>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</si>
  <si>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</si>
  <si>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</si>
  <si>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</si>
  <si>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</si>
  <si>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</si>
  <si>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</si>
  <si>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</si>
  <si>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</si>
  <si>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</si>
  <si>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</si>
  <si>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</si>
  <si>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</si>
  <si>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</si>
  <si>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</si>
  <si>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</si>
  <si>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</si>
  <si>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</si>
  <si>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</si>
  <si>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</si>
  <si>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</si>
  <si>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</si>
  <si>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</si>
  <si>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</si>
  <si>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</si>
  <si>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</si>
  <si>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</si>
  <si>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</si>
  <si>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</si>
  <si>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</si>
  <si>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</si>
  <si>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</si>
  <si>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</si>
  <si>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</si>
  <si>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</si>
  <si>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</si>
  <si>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</si>
  <si>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</si>
  <si>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</si>
  <si>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</si>
  <si>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</si>
  <si>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</si>
  <si>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</si>
  <si>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</si>
  <si>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</si>
  <si>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</si>
  <si>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</si>
  <si>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</si>
  <si>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</si>
  <si>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</si>
  <si>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</si>
  <si>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</si>
  <si>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</si>
  <si>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</si>
  <si>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</si>
  <si>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</si>
  <si>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</si>
  <si>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</si>
  <si>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</si>
  <si>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</si>
  <si>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</si>
  <si>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</si>
  <si>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</si>
  <si>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</si>
  <si>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</si>
  <si>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</si>
  <si>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</si>
  <si>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</si>
  <si>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</si>
  <si>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</si>
  <si>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</si>
  <si>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</si>
  <si>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</si>
  <si>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</si>
  <si>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</si>
  <si>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</si>
  <si>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</si>
  <si>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</si>
  <si>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</si>
  <si>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</si>
  <si>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</si>
  <si>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</si>
  <si>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</si>
  <si>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</si>
  <si>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</si>
  <si>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</si>
  <si>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</si>
  <si>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</si>
  <si>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</si>
  <si>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</si>
  <si>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</si>
  <si>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</si>
  <si>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</si>
  <si>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</si>
  <si>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</si>
  <si>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</si>
  <si>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</si>
  <si>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</si>
  <si>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</si>
  <si>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</si>
  <si>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</si>
  <si>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</si>
  <si>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</si>
  <si>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</si>
  <si>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</si>
  <si>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</si>
  <si>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</si>
  <si>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</si>
  <si>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</si>
  <si>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</si>
  <si>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</si>
  <si>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</si>
  <si>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</si>
  <si>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</si>
  <si>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</si>
  <si>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</si>
  <si>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</si>
  <si>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</si>
  <si>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</si>
  <si>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</si>
  <si>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</si>
  <si>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</si>
  <si>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</si>
  <si>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</si>
  <si>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</si>
  <si>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</si>
  <si>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</si>
  <si>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</si>
  <si>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</si>
  <si>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</si>
  <si>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</si>
  <si>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</si>
  <si>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</si>
  <si>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</si>
  <si>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</si>
  <si>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</si>
  <si>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</si>
  <si>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</si>
  <si>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</si>
  <si>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</si>
  <si>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</si>
  <si>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</si>
  <si>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</si>
  <si>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</si>
  <si>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</si>
  <si>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</si>
  <si>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</si>
  <si>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</si>
  <si>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</si>
  <si>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</si>
  <si>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</si>
  <si>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</si>
  <si>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</si>
  <si>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</si>
  <si>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</si>
  <si>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</si>
  <si>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</si>
  <si>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</si>
  <si>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</si>
  <si>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</si>
  <si>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</si>
  <si>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</si>
  <si>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</si>
  <si>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</si>
  <si>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</si>
  <si>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</si>
  <si>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</si>
  <si>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</si>
  <si>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</si>
  <si>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</si>
  <si>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</si>
  <si>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</si>
  <si>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</si>
  <si>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</si>
  <si>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</si>
  <si>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</si>
  <si>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</si>
  <si>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</si>
  <si>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</si>
  <si>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</si>
  <si>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</si>
  <si>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</si>
  <si>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</si>
  <si>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</si>
  <si>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</si>
  <si>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</si>
  <si>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</si>
  <si>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</si>
  <si>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</si>
  <si>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</si>
  <si>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</si>
  <si>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</si>
  <si>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</si>
  <si>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</si>
  <si>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</si>
  <si>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</si>
  <si>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</si>
  <si>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</si>
  <si>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</si>
  <si>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</si>
  <si>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</si>
  <si>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</si>
  <si>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</si>
  <si>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</si>
  <si>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</si>
  <si>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</si>
  <si>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</si>
  <si>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</si>
  <si>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</si>
  <si>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</si>
  <si>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</si>
  <si>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</si>
  <si>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</si>
  <si>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</si>
  <si>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</si>
  <si>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</si>
  <si>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</si>
  <si>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</si>
  <si>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</si>
  <si>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</si>
  <si>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</si>
  <si>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</si>
  <si>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</si>
  <si>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</si>
  <si>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</si>
  <si>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</si>
  <si>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</si>
  <si>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</si>
  <si>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</si>
  <si>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</si>
  <si>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</si>
  <si>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</si>
  <si>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</si>
  <si>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</si>
  <si>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</si>
  <si>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</si>
  <si>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</si>
  <si>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</si>
  <si>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</si>
  <si>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</si>
  <si>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</si>
  <si>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</si>
  <si>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</si>
  <si>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</si>
  <si>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</si>
  <si>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</si>
  <si>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</si>
  <si>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</si>
  <si>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</si>
  <si>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</si>
  <si>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</si>
  <si>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</si>
  <si>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</si>
  <si>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</si>
  <si>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</si>
  <si>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</si>
  <si>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</si>
  <si>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</si>
  <si>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</si>
  <si>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</si>
  <si>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</si>
  <si>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</si>
  <si>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</si>
  <si>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</si>
  <si>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</si>
  <si>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</si>
  <si>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</si>
  <si>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</si>
  <si>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</si>
  <si>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</si>
  <si>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</si>
  <si>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</si>
  <si>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</si>
  <si>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</si>
  <si>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</si>
  <si>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</si>
  <si>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</si>
  <si>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</si>
  <si>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</si>
  <si>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</si>
  <si>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</si>
  <si>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</si>
  <si>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</si>
  <si>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</si>
  <si>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</si>
  <si>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</si>
  <si>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</si>
  <si>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</si>
  <si>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</si>
  <si>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</si>
  <si>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</si>
  <si>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</si>
  <si>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</si>
  <si>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</si>
  <si>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</si>
  <si>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</si>
  <si>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</si>
  <si>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</si>
  <si>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</si>
  <si>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</si>
  <si>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</si>
  <si>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</si>
  <si>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</si>
  <si>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</si>
  <si>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</si>
  <si>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</si>
  <si>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</si>
  <si>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</si>
  <si>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</si>
  <si>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</si>
  <si>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</si>
  <si>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</si>
  <si>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</si>
  <si>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</si>
  <si>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</si>
  <si>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</si>
  <si>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</si>
  <si>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</si>
  <si>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</si>
  <si>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</si>
  <si>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</si>
  <si>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</si>
  <si>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</si>
  <si>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</si>
  <si>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</si>
  <si>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</si>
  <si>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</si>
  <si>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</si>
  <si>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</si>
  <si>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</si>
  <si>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</si>
  <si>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</si>
  <si>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</si>
  <si>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</si>
  <si>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</si>
  <si>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</si>
  <si>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</si>
  <si>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</si>
  <si>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</si>
  <si>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</si>
  <si>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</si>
  <si>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</si>
  <si>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</si>
  <si>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</si>
  <si>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</si>
  <si>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</si>
  <si>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</si>
  <si>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</si>
  <si>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</si>
  <si>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</si>
  <si>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</si>
  <si>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</si>
  <si>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</si>
  <si>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</si>
  <si>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</si>
  <si>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</si>
  <si>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</si>
  <si>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</si>
  <si>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</si>
  <si>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</si>
  <si>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</si>
  <si>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</si>
  <si>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</si>
  <si>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</si>
  <si>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</si>
  <si>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</si>
  <si>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</si>
  <si>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</si>
  <si>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</si>
  <si>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</si>
  <si>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</si>
  <si>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</si>
  <si>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</si>
  <si>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</si>
  <si>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</si>
  <si>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</si>
  <si>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</si>
  <si>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</si>
  <si>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</si>
  <si>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</si>
  <si>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</si>
  <si>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</si>
  <si>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</si>
  <si>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</si>
  <si>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</si>
  <si>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</si>
  <si>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</si>
  <si>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</si>
  <si>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</si>
  <si>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</si>
  <si>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</si>
  <si>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</si>
  <si>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</si>
  <si>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</si>
  <si>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</si>
  <si>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</si>
  <si>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</si>
  <si>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</si>
  <si>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</si>
  <si>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</si>
  <si>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</si>
  <si>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</si>
  <si>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</si>
  <si>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</si>
  <si>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</si>
  <si>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</si>
  <si>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</si>
  <si>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</si>
  <si>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</si>
  <si>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</si>
  <si>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</si>
  <si>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</si>
  <si>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</si>
  <si>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</si>
  <si>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</si>
  <si>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</si>
  <si>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</si>
  <si>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</si>
  <si>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</si>
  <si>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</si>
  <si>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</si>
  <si>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</si>
  <si>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</si>
  <si>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</si>
  <si>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</si>
  <si>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</si>
  <si>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</si>
  <si>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</si>
  <si>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</si>
  <si>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</si>
  <si>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</si>
  <si>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</si>
  <si>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</si>
  <si>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</si>
  <si>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</si>
  <si>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</si>
  <si>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</si>
  <si>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</si>
  <si>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</si>
  <si>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</si>
  <si>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</si>
  <si>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</si>
  <si>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</si>
  <si>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</si>
  <si>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</si>
  <si>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</si>
  <si>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</si>
  <si>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</si>
  <si>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</si>
  <si>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</si>
  <si>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</si>
  <si>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</si>
  <si>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</si>
  <si>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</si>
  <si>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</si>
  <si>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</si>
  <si>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</si>
  <si>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</si>
  <si>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</si>
  <si>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</si>
  <si>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</si>
  <si>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</si>
  <si>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</si>
  <si>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</si>
  <si>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</si>
  <si>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</si>
  <si>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</si>
  <si>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</si>
  <si>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</si>
  <si>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</si>
  <si>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</si>
  <si>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</si>
  <si>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</si>
  <si>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</si>
  <si>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</si>
  <si>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</si>
  <si>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</si>
  <si>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</si>
  <si>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</si>
  <si>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</si>
  <si>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</si>
  <si>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</si>
  <si>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</si>
  <si>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</si>
  <si>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</si>
  <si>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</si>
  <si>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</si>
  <si>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</si>
  <si>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</si>
  <si>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</si>
  <si>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</si>
  <si>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</si>
  <si>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</si>
  <si>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</si>
  <si>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</si>
  <si>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</si>
  <si>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</si>
  <si>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</si>
  <si>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</si>
  <si>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</si>
  <si>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</si>
  <si>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</si>
  <si>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</si>
  <si>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</si>
  <si>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</si>
  <si>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</si>
  <si>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</si>
  <si>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</si>
  <si>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</si>
  <si>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</si>
  <si>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</si>
  <si>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</si>
  <si>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</si>
  <si>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</si>
  <si>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</si>
  <si>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</si>
  <si>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</si>
  <si>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</si>
  <si>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</si>
  <si>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</si>
  <si>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</si>
  <si>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</si>
  <si>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</si>
  <si>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</si>
  <si>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</si>
  <si>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</si>
  <si>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</si>
  <si>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</si>
  <si>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</si>
  <si>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</si>
  <si>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</si>
  <si>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</si>
  <si>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</si>
  <si>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</si>
  <si>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</si>
  <si>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</si>
  <si>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</si>
  <si>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</si>
  <si>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</si>
  <si>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</si>
  <si>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</si>
  <si>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</si>
  <si>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</si>
  <si>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</si>
  <si>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</si>
  <si>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</si>
  <si>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</si>
  <si>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</si>
  <si>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</si>
  <si>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</si>
  <si>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</si>
  <si>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</si>
  <si>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</si>
  <si>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</si>
  <si>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</si>
  <si>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</si>
  <si>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</si>
  <si>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</si>
  <si>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</si>
  <si>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</si>
  <si>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</si>
  <si>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</si>
  <si>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</si>
  <si>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</si>
  <si>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</si>
  <si>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</si>
  <si>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</si>
  <si>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</si>
  <si>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</si>
  <si>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</si>
  <si>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</si>
  <si>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</si>
  <si>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</si>
  <si>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</si>
  <si>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</si>
  <si>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</si>
  <si>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</si>
  <si>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</si>
  <si>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</si>
  <si>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</si>
  <si>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</si>
  <si>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</si>
  <si>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</si>
  <si>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</si>
  <si>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</si>
  <si>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</si>
  <si>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</si>
  <si>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</si>
  <si>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</si>
  <si>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</si>
  <si>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</si>
  <si>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</si>
  <si>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</si>
  <si>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</si>
  <si>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</si>
  <si>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</si>
  <si>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</si>
  <si>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</si>
  <si>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</si>
  <si>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</si>
  <si>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</si>
  <si>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</si>
  <si>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</si>
  <si>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</si>
  <si>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</si>
  <si>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</si>
  <si>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</si>
  <si>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</si>
  <si>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</si>
  <si>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</si>
  <si>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</si>
  <si>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</si>
  <si>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</si>
  <si>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</si>
  <si>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</si>
  <si>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</si>
  <si>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</si>
  <si>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</si>
  <si>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</si>
  <si>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</si>
  <si>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</si>
  <si>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</si>
  <si>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</si>
  <si>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</si>
  <si>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</si>
  <si>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</si>
  <si>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</si>
  <si>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</si>
  <si>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</si>
  <si>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</si>
  <si>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</si>
  <si>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</si>
  <si>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</si>
  <si>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</si>
  <si>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</si>
  <si>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</si>
  <si>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</si>
  <si>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</si>
  <si>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</si>
  <si>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</si>
  <si>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</si>
  <si>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</si>
  <si>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</si>
  <si>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</si>
  <si>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</si>
  <si>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</si>
  <si>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</si>
  <si>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</si>
  <si>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</si>
  <si>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</si>
  <si>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</si>
  <si>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</si>
  <si>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</si>
  <si>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</si>
  <si>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</si>
  <si>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</si>
  <si>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</si>
  <si>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</si>
  <si>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</si>
  <si>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</si>
  <si>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</si>
  <si>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</si>
  <si>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</si>
  <si>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</si>
  <si>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</si>
  <si>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</si>
  <si>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</si>
  <si>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</si>
  <si>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</si>
  <si>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</si>
  <si>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</si>
  <si>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</si>
  <si>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</si>
  <si>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</si>
  <si>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</si>
  <si>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</si>
  <si>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</si>
  <si>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</si>
  <si>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</si>
  <si>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</si>
  <si>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</si>
  <si>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</si>
  <si>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</si>
  <si>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</si>
  <si>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</si>
  <si>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</si>
  <si>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</si>
  <si>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</si>
  <si>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</si>
  <si>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</si>
  <si>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</si>
  <si>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</si>
  <si>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</si>
  <si>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</si>
  <si>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</si>
  <si>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</si>
  <si>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</si>
  <si>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</si>
  <si>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</si>
  <si>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</si>
  <si>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</si>
  <si>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</si>
  <si>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</si>
  <si>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</si>
  <si>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</si>
  <si>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</si>
  <si>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</si>
  <si>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</si>
  <si>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</si>
  <si>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</si>
  <si>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</si>
  <si>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</si>
  <si>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</si>
  <si>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</si>
  <si>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</si>
  <si>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</si>
  <si>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</si>
  <si>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</si>
  <si>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</si>
  <si>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</si>
  <si>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</si>
  <si>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</si>
  <si>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</si>
  <si>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</si>
  <si>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</si>
  <si>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</si>
  <si>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</si>
  <si>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</si>
  <si>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</si>
  <si>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</si>
  <si>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</si>
  <si>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</si>
  <si>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</si>
  <si>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</si>
  <si>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</si>
  <si>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</si>
  <si>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</si>
  <si>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</si>
  <si>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</si>
  <si>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</si>
  <si>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</si>
  <si>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</si>
  <si>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</si>
  <si>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</si>
  <si>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</si>
  <si>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</si>
  <si>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</si>
  <si>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</si>
  <si>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</si>
  <si>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</si>
  <si>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</si>
  <si>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</si>
  <si>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</si>
  <si>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</si>
  <si>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</si>
  <si>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</si>
  <si>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</si>
  <si>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</si>
  <si>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</si>
  <si>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</si>
  <si>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</si>
  <si>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</si>
  <si>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</si>
  <si>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</si>
  <si>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</si>
  <si>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</si>
  <si>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</si>
  <si>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</si>
  <si>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</si>
  <si>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</si>
  <si>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</si>
  <si>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</si>
  <si>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</si>
  <si>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</si>
  <si>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</si>
  <si>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</si>
  <si>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</si>
  <si>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</si>
  <si>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</si>
  <si>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</si>
  <si>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</si>
  <si>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</si>
  <si>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</si>
  <si>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</si>
  <si>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</si>
  <si>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</si>
  <si>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</si>
  <si>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</si>
  <si>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</si>
  <si>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</si>
  <si>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</si>
  <si>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</si>
  <si>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</si>
  <si>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</si>
  <si>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</si>
  <si>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</si>
  <si>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</si>
  <si>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</si>
  <si>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</si>
  <si>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</si>
  <si>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</si>
  <si>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</si>
  <si>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</si>
  <si>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</si>
  <si>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</si>
  <si>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</si>
  <si>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</si>
  <si>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</si>
  <si>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</si>
  <si>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</si>
  <si>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</si>
  <si>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</si>
  <si>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</si>
  <si>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</si>
  <si>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</si>
  <si>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</si>
  <si>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</si>
  <si>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</si>
  <si>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</si>
  <si>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</si>
  <si>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</si>
  <si>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</si>
  <si>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</si>
  <si>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</si>
  <si>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</si>
  <si>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</si>
  <si>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</si>
  <si>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</si>
  <si>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</si>
  <si>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</si>
  <si>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</si>
  <si>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</si>
  <si>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</si>
  <si>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</si>
  <si>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</si>
  <si>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</si>
  <si>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</si>
  <si>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</si>
  <si>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</si>
  <si>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</si>
  <si>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</si>
  <si>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</si>
  <si>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</si>
  <si>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</si>
  <si>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</si>
  <si>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</si>
  <si>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</si>
  <si>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</si>
  <si>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</si>
  <si>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</si>
  <si>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</si>
  <si>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</si>
  <si>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</si>
  <si>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</si>
  <si>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</si>
  <si>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</si>
  <si>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</si>
  <si>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</si>
  <si>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</si>
  <si>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</si>
  <si>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</si>
  <si>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</si>
  <si>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</si>
  <si>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</si>
  <si>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</si>
  <si>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</si>
  <si>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</si>
  <si>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</si>
  <si>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</si>
  <si>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</si>
  <si>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</si>
  <si>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</si>
  <si>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</si>
  <si>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</si>
  <si>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</si>
  <si>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</si>
  <si>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</si>
  <si>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</si>
  <si>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</si>
  <si>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</si>
  <si>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</si>
  <si>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</si>
  <si>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</si>
  <si>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</si>
  <si>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</si>
  <si>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</si>
  <si>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</si>
  <si>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</si>
  <si>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</si>
  <si>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</si>
  <si>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</si>
  <si>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</si>
  <si>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</si>
  <si>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</si>
  <si>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</si>
  <si>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</si>
  <si>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</si>
  <si>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</si>
  <si>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</si>
  <si>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</si>
  <si>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</si>
  <si>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</si>
  <si>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</si>
  <si>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</si>
  <si>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</si>
  <si>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</si>
  <si>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</si>
  <si>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</si>
  <si>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</si>
  <si>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</si>
  <si>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</si>
  <si>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</si>
  <si>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</si>
  <si>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</si>
  <si>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</si>
  <si>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</si>
  <si>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</si>
  <si>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</si>
  <si>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</si>
  <si>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</si>
  <si>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</si>
  <si>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</si>
  <si>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</si>
  <si>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</si>
  <si>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</si>
  <si>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</si>
  <si>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</si>
  <si>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</si>
  <si>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</si>
  <si>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</si>
  <si>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</si>
  <si>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</si>
  <si>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</si>
  <si>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</si>
  <si>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</si>
  <si>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</si>
  <si>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</si>
  <si>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</si>
  <si>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</si>
  <si>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</si>
  <si>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</si>
  <si>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</si>
  <si>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</si>
  <si>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</si>
  <si>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</si>
  <si>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</si>
  <si>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</si>
  <si>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</si>
  <si>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</si>
  <si>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</si>
  <si>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</si>
  <si>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</si>
  <si>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</si>
  <si>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</si>
  <si>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</si>
  <si>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</si>
  <si>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</si>
  <si>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</si>
  <si>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</si>
  <si>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</si>
  <si>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</si>
  <si>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</si>
  <si>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</si>
  <si>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</si>
  <si>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</si>
  <si>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</si>
  <si>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</si>
  <si>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</si>
  <si>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</si>
  <si>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</si>
  <si>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</si>
  <si>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</si>
  <si>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</si>
  <si>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</si>
  <si>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</si>
  <si>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</si>
  <si>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</si>
  <si>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</si>
  <si>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</si>
  <si>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</si>
  <si>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</si>
  <si>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</si>
  <si>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</si>
  <si>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</si>
  <si>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</si>
  <si>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</si>
  <si>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</si>
  <si>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</si>
  <si>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</si>
  <si>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</si>
  <si>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</si>
  <si>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</si>
  <si>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</si>
  <si>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</si>
  <si>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</si>
  <si>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</si>
  <si>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</si>
  <si>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</si>
  <si>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</si>
  <si>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</si>
  <si>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</si>
  <si>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</si>
  <si>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</si>
  <si>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</si>
  <si>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</si>
  <si>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</si>
  <si>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</si>
  <si>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</si>
  <si>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</si>
  <si>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</si>
  <si>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</si>
  <si>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</si>
  <si>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</si>
  <si>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</si>
  <si>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</si>
  <si>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</si>
  <si>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</si>
  <si>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</si>
  <si>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</si>
  <si>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</si>
  <si>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</si>
  <si>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</si>
  <si>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</si>
  <si>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</si>
  <si>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</si>
  <si>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</si>
  <si>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</si>
  <si>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</si>
  <si>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</si>
  <si>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</si>
  <si>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</si>
  <si>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</si>
  <si>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</si>
  <si>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</si>
  <si>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</si>
  <si>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</si>
  <si>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</si>
  <si>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</si>
  <si>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</si>
  <si>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</si>
  <si>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</si>
  <si>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</si>
  <si>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</si>
  <si>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</si>
  <si>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</si>
  <si>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</si>
  <si>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</si>
  <si>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</si>
  <si>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</si>
  <si>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</si>
  <si>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</si>
  <si>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</si>
  <si>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</si>
  <si>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</si>
  <si>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</si>
  <si>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</si>
  <si>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</si>
  <si>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</si>
  <si>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</si>
  <si>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</si>
  <si>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</si>
  <si>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</si>
  <si>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</si>
  <si>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</si>
  <si>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</si>
  <si>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</si>
  <si>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</si>
  <si>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</si>
  <si>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</si>
  <si>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</si>
  <si>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</si>
  <si>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</si>
  <si>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</si>
  <si>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</si>
  <si>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</si>
  <si>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</si>
  <si>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</si>
  <si>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</si>
  <si>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</si>
  <si>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</si>
  <si>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</si>
  <si>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</si>
  <si>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</si>
  <si>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</si>
  <si>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</si>
  <si>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</si>
  <si>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</si>
  <si>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</si>
  <si>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</si>
  <si>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</si>
  <si>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</si>
  <si>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</si>
  <si>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</si>
  <si>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</si>
  <si>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</si>
  <si>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</si>
  <si>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</si>
  <si>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</si>
  <si>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</si>
  <si>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</si>
  <si>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</si>
  <si>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</si>
  <si>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</si>
  <si>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</si>
  <si>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</si>
  <si>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</si>
  <si>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</si>
  <si>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</si>
  <si>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</si>
  <si>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</si>
  <si>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</si>
  <si>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</si>
  <si>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</si>
  <si>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</si>
  <si>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</si>
  <si>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</si>
  <si>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</si>
  <si>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</si>
  <si>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</si>
  <si>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</si>
  <si>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</si>
  <si>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</si>
  <si>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</si>
  <si>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</si>
  <si>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</si>
  <si>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</si>
  <si>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</si>
  <si>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</si>
  <si>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</si>
  <si>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</si>
  <si>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</si>
  <si>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</si>
  <si>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</si>
  <si>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</si>
  <si>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</si>
  <si>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</si>
  <si>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</si>
  <si>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</si>
  <si>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</si>
  <si>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</si>
  <si>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</si>
  <si>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</si>
  <si>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</si>
  <si>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</si>
  <si>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</si>
  <si>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</si>
  <si>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</si>
  <si>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</si>
  <si>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</si>
  <si>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</si>
  <si>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</si>
  <si>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</si>
  <si>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</si>
  <si>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</si>
  <si>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</si>
  <si>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</si>
  <si>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</si>
  <si>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</si>
  <si>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</si>
  <si>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</si>
  <si>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</si>
  <si>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</si>
  <si>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</si>
  <si>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</si>
  <si>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</si>
  <si>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</si>
  <si>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</si>
  <si>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</si>
  <si>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</si>
  <si>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</si>
  <si>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</si>
  <si>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</si>
  <si>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</si>
  <si>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</si>
  <si>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</si>
  <si>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</si>
  <si>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</si>
  <si>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</si>
  <si>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</si>
  <si>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</si>
  <si>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</si>
  <si>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</si>
  <si>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</si>
  <si>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</si>
  <si>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</si>
  <si>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</si>
  <si>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</si>
  <si>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</si>
  <si>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</si>
  <si>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</si>
  <si>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</si>
  <si>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</si>
  <si>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</si>
  <si>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</si>
  <si>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</si>
  <si>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</si>
  <si>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</si>
  <si>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</si>
  <si>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</si>
  <si>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</si>
  <si>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</si>
  <si>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</si>
  <si>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</si>
  <si>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</si>
  <si>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</si>
  <si>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</si>
  <si>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</si>
  <si>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</si>
  <si>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</si>
  <si>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</si>
  <si>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</si>
  <si>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</si>
  <si>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</si>
  <si>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</si>
  <si>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</si>
  <si>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</si>
  <si>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</si>
  <si>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</si>
  <si>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</si>
  <si>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</si>
  <si>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</si>
  <si>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</si>
  <si>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</si>
  <si>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</si>
  <si>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</si>
  <si>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</si>
  <si>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</si>
  <si>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</si>
  <si>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</si>
  <si>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</si>
  <si>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</si>
  <si>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</si>
  <si>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</si>
  <si>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</si>
  <si>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</si>
  <si>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</si>
  <si>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</si>
  <si>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</si>
  <si>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</si>
  <si>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</si>
  <si>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</si>
  <si>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</si>
  <si>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</si>
  <si>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</si>
  <si>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</si>
  <si>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</si>
  <si>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</si>
  <si>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</si>
  <si>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</si>
  <si>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</si>
  <si>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</si>
  <si>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</si>
  <si>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</si>
  <si>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</si>
  <si>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</si>
  <si>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</si>
  <si>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</si>
  <si>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</si>
  <si>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</si>
  <si>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</si>
  <si>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</si>
  <si>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</si>
  <si>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</si>
  <si>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</si>
  <si>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</si>
  <si>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</si>
  <si>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</si>
  <si>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</si>
  <si>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</si>
  <si>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</si>
  <si>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</si>
  <si>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</si>
  <si>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</si>
  <si>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</si>
  <si>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</si>
  <si>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</si>
  <si>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</si>
  <si>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</si>
  <si>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</si>
  <si>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</si>
  <si>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</si>
  <si>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</si>
  <si>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</si>
  <si>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</si>
  <si>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</si>
  <si>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</si>
  <si>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</si>
  <si>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</si>
  <si>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</si>
  <si>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</si>
  <si>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</si>
  <si>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</si>
  <si>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</si>
  <si>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</si>
  <si>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</si>
  <si>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</si>
  <si>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</si>
  <si>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</si>
  <si>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</si>
  <si>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</si>
  <si>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</si>
  <si>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</si>
  <si>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</si>
  <si>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</si>
  <si>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</si>
  <si>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</si>
  <si>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</si>
  <si>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</si>
  <si>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</si>
  <si>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</si>
  <si>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</si>
  <si>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</si>
  <si>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</si>
  <si>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</si>
  <si>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</si>
  <si>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</si>
  <si>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</si>
  <si>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</si>
  <si>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</si>
  <si>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</si>
  <si>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</si>
  <si>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</si>
  <si>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</si>
  <si>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</si>
  <si>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</si>
  <si>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</si>
  <si>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</si>
  <si>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</si>
  <si>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</si>
  <si>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</si>
  <si>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</si>
  <si>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</si>
  <si>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</si>
  <si>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</si>
  <si>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</si>
  <si>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</si>
  <si>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</si>
  <si>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</si>
  <si>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</si>
  <si>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</si>
  <si>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</si>
  <si>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</si>
  <si>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</si>
  <si>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</si>
  <si>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</si>
  <si>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</si>
  <si>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</si>
  <si>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</si>
  <si>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</si>
  <si>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</si>
  <si>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</si>
  <si>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</si>
  <si>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</si>
  <si>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</si>
  <si>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</si>
  <si>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</si>
  <si>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</si>
  <si>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</si>
  <si>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</si>
  <si>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</si>
  <si>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</si>
  <si>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</si>
  <si>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</si>
  <si>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</si>
  <si>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</si>
  <si>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</si>
  <si>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</si>
  <si>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</si>
  <si>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</si>
  <si>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</si>
  <si>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</si>
  <si>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</si>
  <si>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</si>
  <si>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</si>
  <si>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</si>
  <si>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</si>
  <si>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</si>
  <si>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</si>
  <si>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</si>
  <si>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</si>
  <si>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</si>
  <si>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</si>
  <si>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</si>
  <si>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</si>
  <si>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</si>
  <si>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</si>
  <si>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</si>
  <si>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</si>
  <si>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</si>
  <si>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</si>
  <si>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</si>
  <si>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</si>
  <si>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</si>
  <si>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</si>
  <si>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</si>
  <si>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</si>
  <si>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</si>
  <si>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</si>
  <si>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</si>
  <si>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</si>
  <si>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</si>
  <si>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</si>
  <si>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</si>
  <si>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</si>
  <si>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</si>
  <si>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</si>
  <si>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</si>
  <si>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</si>
  <si>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</si>
  <si>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</si>
  <si>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</si>
  <si>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</si>
  <si>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</si>
  <si>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</si>
  <si>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</si>
  <si>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</si>
  <si>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</si>
  <si>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</si>
  <si>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</si>
  <si>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</si>
  <si>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</si>
  <si>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</si>
  <si>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</si>
  <si>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</si>
  <si>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</si>
  <si>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</si>
  <si>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</si>
  <si>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</si>
  <si>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</si>
  <si>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</si>
  <si>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</si>
  <si>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</si>
  <si>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</si>
  <si>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</si>
  <si>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</si>
  <si>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</si>
  <si>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</si>
  <si>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</si>
  <si>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</si>
  <si>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</si>
  <si>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</si>
  <si>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</si>
  <si>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</si>
  <si>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</si>
  <si>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</si>
  <si>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</si>
  <si>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</si>
  <si>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</si>
  <si>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</si>
  <si>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</si>
  <si>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</si>
  <si>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</si>
  <si>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</si>
  <si>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</si>
  <si>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</si>
  <si>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</si>
  <si>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</si>
  <si>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</si>
  <si>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</si>
  <si>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</si>
  <si>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</si>
  <si>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</si>
  <si>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</si>
  <si>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</si>
  <si>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</si>
  <si>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</si>
  <si>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</si>
  <si>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</si>
  <si>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</si>
  <si>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</si>
  <si>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</si>
  <si>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</si>
  <si>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</si>
  <si>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</si>
  <si>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</si>
  <si>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</si>
  <si>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</si>
  <si>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</si>
  <si>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</si>
  <si>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</si>
  <si>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</si>
  <si>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</si>
  <si>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</si>
  <si>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</si>
  <si>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</si>
  <si>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</si>
  <si>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</si>
  <si>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</si>
  <si>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</si>
  <si>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</si>
  <si>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</si>
  <si>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</si>
  <si>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</si>
  <si>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</si>
  <si>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</si>
  <si>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</si>
  <si>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</si>
  <si>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</si>
  <si>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</si>
  <si>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</si>
  <si>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</si>
  <si>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</si>
  <si>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</si>
  <si>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</si>
  <si>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</si>
  <si>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</si>
  <si>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</si>
  <si>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</si>
  <si>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</si>
  <si>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</si>
  <si>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</si>
  <si>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</si>
  <si>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</si>
  <si>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</si>
  <si>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</si>
  <si>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</si>
  <si>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</si>
  <si>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</si>
  <si>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</si>
  <si>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</si>
  <si>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</si>
  <si>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</si>
  <si>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</si>
  <si>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</si>
  <si>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</si>
  <si>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</si>
  <si>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</si>
  <si>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</si>
  <si>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</si>
  <si>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</si>
  <si>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</si>
  <si>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</si>
  <si>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</si>
  <si>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</si>
  <si>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</si>
  <si>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</si>
  <si>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</si>
  <si>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</si>
  <si>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</si>
  <si>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</si>
  <si>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</si>
  <si>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</si>
  <si>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</si>
  <si>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</si>
  <si>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</si>
  <si>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</si>
  <si>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</si>
  <si>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</si>
  <si>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</si>
  <si>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</si>
  <si>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</si>
  <si>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</si>
  <si>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</si>
  <si>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</si>
  <si>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</si>
  <si>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</si>
  <si>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</si>
  <si>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</si>
  <si>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</si>
  <si>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</si>
  <si>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</si>
  <si>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</si>
  <si>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</si>
  <si>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</si>
  <si>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</si>
  <si>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</si>
  <si>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</si>
  <si>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</si>
  <si>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</si>
  <si>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</si>
  <si>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</si>
  <si>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</si>
  <si>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</si>
  <si>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</si>
  <si>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</si>
  <si>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</si>
  <si>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</si>
  <si>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</si>
  <si>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</si>
  <si>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</si>
  <si>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</si>
  <si>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</si>
  <si>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</si>
  <si>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</si>
  <si>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</si>
  <si>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</si>
  <si>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</si>
  <si>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</si>
  <si>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</si>
  <si>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</si>
  <si>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</si>
  <si>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</si>
  <si>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</si>
  <si>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</si>
  <si>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</si>
  <si>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</si>
  <si>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</si>
  <si>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</si>
  <si>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</si>
  <si>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</si>
  <si>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</si>
  <si>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</si>
  <si>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</si>
  <si>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</si>
  <si>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</si>
  <si>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</si>
  <si>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</si>
  <si>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</si>
  <si>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</si>
  <si>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</si>
  <si>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</si>
  <si>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</si>
  <si>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</si>
  <si>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</si>
  <si>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</si>
  <si>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</si>
  <si>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</si>
  <si>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</si>
  <si>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</si>
  <si>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</si>
  <si>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</si>
  <si>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</si>
  <si>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</si>
  <si>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</si>
  <si>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</si>
  <si>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</si>
  <si>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</si>
  <si>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</si>
  <si>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</si>
  <si>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</si>
  <si>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</si>
  <si>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</si>
  <si>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</si>
  <si>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</si>
  <si>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</si>
  <si>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</si>
  <si>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</si>
  <si>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</si>
  <si>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</si>
  <si>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</si>
  <si>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</si>
  <si>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</si>
  <si>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</si>
  <si>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</si>
  <si>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</si>
  <si>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</si>
  <si>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</si>
  <si>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</si>
  <si>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</si>
  <si>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</si>
  <si>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</si>
  <si>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</si>
  <si>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</si>
  <si>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</si>
  <si>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</si>
  <si>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</si>
  <si>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</si>
  <si>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</si>
  <si>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</si>
  <si>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</si>
  <si>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</si>
  <si>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</si>
  <si>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</si>
  <si>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</si>
  <si>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</si>
  <si>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</si>
  <si>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</si>
  <si>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</si>
  <si>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</si>
  <si>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</si>
  <si>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</si>
  <si>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</si>
  <si>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</si>
  <si>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</si>
  <si>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</si>
  <si>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</si>
  <si>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</si>
  <si>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</si>
  <si>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</si>
  <si>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</si>
  <si>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</si>
  <si>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</si>
  <si>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</si>
  <si>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</si>
  <si>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</si>
  <si>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</si>
  <si>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</si>
  <si>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</si>
  <si>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</si>
  <si>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</si>
  <si>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</si>
  <si>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</si>
  <si>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</si>
  <si>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</si>
  <si>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</si>
  <si>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</si>
  <si>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</si>
  <si>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</si>
  <si>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</si>
  <si>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</si>
  <si>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</si>
  <si>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</si>
  <si>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</si>
  <si>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</si>
  <si>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</si>
  <si>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</si>
  <si>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</si>
  <si>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</si>
  <si>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</si>
  <si>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</si>
  <si>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</si>
  <si>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</si>
  <si>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</si>
  <si>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</si>
  <si>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</si>
  <si>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</si>
  <si>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</si>
  <si>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</si>
  <si>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</si>
  <si>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</si>
  <si>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</si>
  <si>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</si>
  <si>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</si>
  <si>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</si>
  <si>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</si>
  <si>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</si>
  <si>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</si>
  <si>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</si>
  <si>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</si>
  <si>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</si>
  <si>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</si>
  <si>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</si>
  <si>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</si>
  <si>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</si>
  <si>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</si>
  <si>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</si>
  <si>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</si>
  <si>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</si>
  <si>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</si>
  <si>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</si>
  <si>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</si>
  <si>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</si>
  <si>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</si>
  <si>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</si>
  <si>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</si>
  <si>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</si>
  <si>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</si>
  <si>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</si>
  <si>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</si>
  <si>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</si>
  <si>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</si>
  <si>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</si>
  <si>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</si>
  <si>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</si>
  <si>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</si>
  <si>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</si>
  <si>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</si>
  <si>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</si>
  <si>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</si>
  <si>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</si>
  <si>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</si>
  <si>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</si>
  <si>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</si>
  <si>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</si>
  <si>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</si>
  <si>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</si>
  <si>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</si>
  <si>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</si>
  <si>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</si>
  <si>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</si>
  <si>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</si>
  <si>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</si>
  <si>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</si>
  <si>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</si>
  <si>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</si>
  <si>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</si>
  <si>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</si>
  <si>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</si>
  <si>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</si>
  <si>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</si>
  <si>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</si>
  <si>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</si>
  <si>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</si>
  <si>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</si>
  <si>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</si>
  <si>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</si>
  <si>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</si>
  <si>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</si>
  <si>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</si>
  <si>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</si>
  <si>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</si>
  <si>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</si>
  <si>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</si>
  <si>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</si>
  <si>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</si>
  <si>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</si>
  <si>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</si>
  <si>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</si>
  <si>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</si>
  <si>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</si>
  <si>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</si>
  <si>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</si>
  <si>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</si>
  <si>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</si>
  <si>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</si>
  <si>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</si>
  <si>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</si>
  <si>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</si>
  <si>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</si>
  <si>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</si>
  <si>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</si>
  <si>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</si>
  <si>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</si>
  <si>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</si>
  <si>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</si>
  <si>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</si>
  <si>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</si>
  <si>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</si>
  <si>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</si>
  <si>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</si>
  <si>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</si>
  <si>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</si>
  <si>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</si>
  <si>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</si>
  <si>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</si>
  <si>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</si>
  <si>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</si>
  <si>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</si>
  <si>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</si>
  <si>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</si>
  <si>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</si>
  <si>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</si>
  <si>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</si>
  <si>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</si>
  <si>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</si>
  <si>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</si>
  <si>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</si>
  <si>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</si>
  <si>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</si>
  <si>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</si>
  <si>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</si>
  <si>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</si>
  <si>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</si>
  <si>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</si>
  <si>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</si>
  <si>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</si>
  <si>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</si>
  <si>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</si>
  <si>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</si>
  <si>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</si>
  <si>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</si>
  <si>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</si>
  <si>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</si>
  <si>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</si>
  <si>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</si>
  <si>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</si>
  <si>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</si>
  <si>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</si>
  <si>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</si>
  <si>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</si>
  <si>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</si>
  <si>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</si>
  <si>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</si>
  <si>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</si>
  <si>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</si>
  <si>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</si>
  <si>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</si>
  <si>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</si>
  <si>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</si>
  <si>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</si>
  <si>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</si>
  <si>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</si>
  <si>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</si>
  <si>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</si>
  <si>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</si>
  <si>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</si>
  <si>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</si>
  <si>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</si>
  <si>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</si>
  <si>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</si>
  <si>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</si>
  <si>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</si>
  <si>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</si>
  <si>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</si>
  <si>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</si>
  <si>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</si>
  <si>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</si>
  <si>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</si>
  <si>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</si>
  <si>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</si>
  <si>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</si>
  <si>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</si>
  <si>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</si>
  <si>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</si>
  <si>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</si>
  <si>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</si>
  <si>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</si>
  <si>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</si>
  <si>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</si>
  <si>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</si>
  <si>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</si>
  <si>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</si>
  <si>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</si>
  <si>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</si>
  <si>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</si>
  <si>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</si>
  <si>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</si>
  <si>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</si>
  <si>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</si>
  <si>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</si>
  <si>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</si>
  <si>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</si>
  <si>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</si>
  <si>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</si>
  <si>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</si>
  <si>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</si>
  <si>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</si>
  <si>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</si>
  <si>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</si>
  <si>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</si>
  <si>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</si>
  <si>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</si>
  <si>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</si>
  <si>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</si>
  <si>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</si>
  <si>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</si>
  <si>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</si>
  <si>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</si>
  <si>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</si>
  <si>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</si>
  <si>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</si>
  <si>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</si>
  <si>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</si>
  <si>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</si>
  <si>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</si>
  <si>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</si>
  <si>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</si>
  <si>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</si>
  <si>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</si>
  <si>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</si>
  <si>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</si>
  <si>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</si>
  <si>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</si>
  <si>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</si>
  <si>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</si>
  <si>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</si>
  <si>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</si>
  <si>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</si>
  <si>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</si>
  <si>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</si>
  <si>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</si>
  <si>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</si>
  <si>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</si>
  <si>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</si>
  <si>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</si>
  <si>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</si>
  <si>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</si>
  <si>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</si>
  <si>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</si>
  <si>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</si>
  <si>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</si>
  <si>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</si>
  <si>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</si>
  <si>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</si>
  <si>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</si>
  <si>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</si>
  <si>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</si>
  <si>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</si>
  <si>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</si>
  <si>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</si>
  <si>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</si>
  <si>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</si>
  <si>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</si>
  <si>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</si>
  <si>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</si>
  <si>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</si>
  <si>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</si>
  <si>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</si>
  <si>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</si>
  <si>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</si>
  <si>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</si>
  <si>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</si>
  <si>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</si>
  <si>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</si>
  <si>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</si>
  <si>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</si>
  <si>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</si>
  <si>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</si>
  <si>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</si>
  <si>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</si>
  <si>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</si>
  <si>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</si>
  <si>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</si>
  <si>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</si>
  <si>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</si>
  <si>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</si>
  <si>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</si>
  <si>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</si>
  <si>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</si>
  <si>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</si>
  <si>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</si>
  <si>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</si>
  <si>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</si>
  <si>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</si>
  <si>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</si>
  <si>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</si>
  <si>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</si>
  <si>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</si>
  <si>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</si>
  <si>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</si>
  <si>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</si>
  <si>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</si>
  <si>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</si>
  <si>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</si>
  <si>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</si>
  <si>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</si>
  <si>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</si>
  <si>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</si>
  <si>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</si>
  <si>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</si>
  <si>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</si>
  <si>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</si>
  <si>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</si>
  <si>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</si>
  <si>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</si>
  <si>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</si>
  <si>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</si>
  <si>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</si>
  <si>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</si>
  <si>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</si>
  <si>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</si>
  <si>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</si>
  <si>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</si>
  <si>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</si>
  <si>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</si>
  <si>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</si>
  <si>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</si>
  <si>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</si>
  <si>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</si>
  <si>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</si>
  <si>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</si>
  <si>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</si>
  <si>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</si>
  <si>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</si>
  <si>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</si>
  <si>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</si>
  <si>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</si>
  <si>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</si>
  <si>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</si>
  <si>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</si>
  <si>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</si>
  <si>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</si>
  <si>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</si>
  <si>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</si>
  <si>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</si>
  <si>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</si>
  <si>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</si>
  <si>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</si>
  <si>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</si>
  <si>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</si>
  <si>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</si>
  <si>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</si>
  <si>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</si>
  <si>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</si>
  <si>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</si>
  <si>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</si>
  <si>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</si>
  <si>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</si>
  <si>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</si>
  <si>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</si>
  <si>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</si>
  <si>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</si>
  <si>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</si>
  <si>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</si>
  <si>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</si>
  <si>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</si>
  <si>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</si>
  <si>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</si>
  <si>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</si>
  <si>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</si>
  <si>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</si>
  <si>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</si>
  <si>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</si>
  <si>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</si>
  <si>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</si>
  <si>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</si>
  <si>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</si>
  <si>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</si>
  <si>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</si>
  <si>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</si>
  <si>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</si>
  <si>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</si>
  <si>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</si>
  <si>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</si>
  <si>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</si>
  <si>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</si>
  <si>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</si>
  <si>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</si>
  <si>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</si>
  <si>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</si>
  <si>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</si>
  <si>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</si>
  <si>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</si>
  <si>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</si>
  <si>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</si>
  <si>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</si>
  <si>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</si>
  <si>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</si>
  <si>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</si>
  <si>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</si>
  <si>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</si>
  <si>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</si>
  <si>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</si>
  <si>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</si>
  <si>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</si>
  <si>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</si>
  <si>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</si>
  <si>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</si>
  <si>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</si>
  <si>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</si>
  <si>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</si>
  <si>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</si>
  <si>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</si>
  <si>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</si>
  <si>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</si>
  <si>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</si>
  <si>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</si>
  <si>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</si>
  <si>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</si>
  <si>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</si>
  <si>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</si>
  <si>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</si>
  <si>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</si>
  <si>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</si>
  <si>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</si>
  <si>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</si>
  <si>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</si>
  <si>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</si>
  <si>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</si>
  <si>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</si>
  <si>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</si>
  <si>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</si>
  <si>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</si>
  <si>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</si>
  <si>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</si>
  <si>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</si>
  <si>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</si>
  <si>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</si>
  <si>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</si>
  <si>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</si>
  <si>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</si>
  <si>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</si>
  <si>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</si>
  <si>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</si>
  <si>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</si>
  <si>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</si>
  <si>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</si>
  <si>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</si>
  <si>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</si>
  <si>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</si>
  <si>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</si>
  <si>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</si>
  <si>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</si>
  <si>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</si>
  <si>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</si>
  <si>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</si>
  <si>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</si>
  <si>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</si>
  <si>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</si>
  <si>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</si>
  <si>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</si>
  <si>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</si>
  <si>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</si>
  <si>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</si>
  <si>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</si>
  <si>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</si>
  <si>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</si>
  <si>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</si>
  <si>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</si>
  <si>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</si>
  <si>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</si>
  <si>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</si>
  <si>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</si>
  <si>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</si>
  <si>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</si>
  <si>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</si>
  <si>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</si>
  <si>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</si>
  <si>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</si>
  <si>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</si>
  <si>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</si>
  <si>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</si>
  <si>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</si>
  <si>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</si>
  <si>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</si>
  <si>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</si>
  <si>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</si>
  <si>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</si>
  <si>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</si>
  <si>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</si>
  <si>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</si>
  <si>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</si>
  <si>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</si>
  <si>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</si>
  <si>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</si>
  <si>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</si>
  <si>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</si>
  <si>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</si>
  <si>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</si>
  <si>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</si>
  <si>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</si>
  <si>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</si>
  <si>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</si>
  <si>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</si>
  <si>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</si>
  <si>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</si>
  <si>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</si>
  <si>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</si>
  <si>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</si>
  <si>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</si>
  <si>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</si>
  <si>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</si>
  <si>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</si>
  <si>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</si>
  <si>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</si>
  <si>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</si>
  <si>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</si>
  <si>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</si>
  <si>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</si>
  <si>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</si>
  <si>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</si>
  <si>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</si>
  <si>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</si>
  <si>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</si>
  <si>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</si>
  <si>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</si>
  <si>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</si>
  <si>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</si>
  <si>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</si>
  <si>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</si>
  <si>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</si>
  <si>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</si>
  <si>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</si>
  <si>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</si>
  <si>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</si>
  <si>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</si>
  <si>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</si>
  <si>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</si>
  <si>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</si>
  <si>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</si>
  <si>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</si>
  <si>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</si>
  <si>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</si>
  <si>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</si>
  <si>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</si>
  <si>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</si>
  <si>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</si>
  <si>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</si>
  <si>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</si>
  <si>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</si>
  <si>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</si>
  <si>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</si>
  <si>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</si>
  <si>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</si>
  <si>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</si>
  <si>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</si>
  <si>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</si>
  <si>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</si>
  <si>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</si>
  <si>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</si>
  <si>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</si>
  <si>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</si>
  <si>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</si>
  <si>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</si>
  <si>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</si>
  <si>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</si>
  <si>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</si>
  <si>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</si>
  <si>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</si>
  <si>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</si>
  <si>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</si>
  <si>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</si>
  <si>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</si>
  <si>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</si>
  <si>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</si>
  <si>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</si>
  <si>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</si>
  <si>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</si>
  <si>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</si>
  <si>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</si>
  <si>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</si>
  <si>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</si>
  <si>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</si>
  <si>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</si>
  <si>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</si>
  <si>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</si>
  <si>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</si>
  <si>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</si>
  <si>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</si>
  <si>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</si>
  <si>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</si>
  <si>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</si>
  <si>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</si>
  <si>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</si>
  <si>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</si>
  <si>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</si>
  <si>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</si>
  <si>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</si>
  <si>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</si>
  <si>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</si>
  <si>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</si>
  <si>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</si>
  <si>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</si>
  <si>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</si>
  <si>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</si>
  <si>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</si>
  <si>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</si>
  <si>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</si>
  <si>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</si>
  <si>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</si>
  <si>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</si>
  <si>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</si>
  <si>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</si>
  <si>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</si>
  <si>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</si>
  <si>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</si>
  <si>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</si>
  <si>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</si>
  <si>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</si>
  <si>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</si>
  <si>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</si>
  <si>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</si>
  <si>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</si>
  <si>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</si>
  <si>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</si>
  <si>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</si>
  <si>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</si>
  <si>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</si>
  <si>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</si>
  <si>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</si>
  <si>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</si>
  <si>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</si>
  <si>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</si>
  <si>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</si>
  <si>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</si>
  <si>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</si>
  <si>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</si>
  <si>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</si>
  <si>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</si>
  <si>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</si>
  <si>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</si>
  <si>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</si>
  <si>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</si>
  <si>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</si>
  <si>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</si>
  <si>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</si>
  <si>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</si>
  <si>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</si>
  <si>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</si>
  <si>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</si>
  <si>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</si>
  <si>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</si>
  <si>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</si>
  <si>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</si>
  <si>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</si>
  <si>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</si>
  <si>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</si>
  <si>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</si>
  <si>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</si>
  <si>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</si>
  <si>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</si>
  <si>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</si>
  <si>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</si>
  <si>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</si>
  <si>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</si>
  <si>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</si>
  <si>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</si>
  <si>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</si>
  <si>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</si>
  <si>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</si>
  <si>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</si>
  <si>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</si>
  <si>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</si>
  <si>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</si>
  <si>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</si>
  <si>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</si>
  <si>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</si>
  <si>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</si>
  <si>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</si>
  <si>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</si>
  <si>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</si>
  <si>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</si>
  <si>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</si>
  <si>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</si>
  <si>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</si>
  <si>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</si>
  <si>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</si>
  <si>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</si>
  <si>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</si>
  <si>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</si>
  <si>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</si>
  <si>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</si>
  <si>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</si>
  <si>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</si>
  <si>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</si>
  <si>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</si>
  <si>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</si>
  <si>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</si>
  <si>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</si>
  <si>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</si>
  <si>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</si>
  <si>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</si>
  <si>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</si>
  <si>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</si>
  <si>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</si>
  <si>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</si>
  <si>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</si>
  <si>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</si>
  <si>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</si>
  <si>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</si>
  <si>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</si>
  <si>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</si>
  <si>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</si>
  <si>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</si>
  <si>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</si>
  <si>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</si>
  <si>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</si>
  <si>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</si>
  <si>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</si>
  <si>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</si>
  <si>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</si>
  <si>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</si>
  <si>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</si>
  <si>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</si>
  <si>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</si>
  <si>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</si>
  <si>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</si>
  <si>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</si>
  <si>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</si>
  <si>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</si>
  <si>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</si>
  <si>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</si>
  <si>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</si>
  <si>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</si>
  <si>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</si>
  <si>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</si>
  <si>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</si>
  <si>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</si>
  <si>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</si>
  <si>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</si>
  <si>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</si>
  <si>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</si>
  <si>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</si>
  <si>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</si>
  <si>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</si>
  <si>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</si>
  <si>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</si>
  <si>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</si>
  <si>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</si>
  <si>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</si>
  <si>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</si>
  <si>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</si>
  <si>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</si>
  <si>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</si>
  <si>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</si>
  <si>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</si>
  <si>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</si>
  <si>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</si>
  <si>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</si>
  <si>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</si>
  <si>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</si>
  <si>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</si>
  <si>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</si>
  <si>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</si>
  <si>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</si>
  <si>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</si>
  <si>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</si>
  <si>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</si>
  <si>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</si>
  <si>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</si>
  <si>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</si>
  <si>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</si>
  <si>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</si>
  <si>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</si>
  <si>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</si>
  <si>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</si>
  <si>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</si>
  <si>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</si>
  <si>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</si>
  <si>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</si>
  <si>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</si>
  <si>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</si>
  <si>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</si>
  <si>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</si>
  <si>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</si>
  <si>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</si>
  <si>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</si>
  <si>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</si>
  <si>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</si>
  <si>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</si>
  <si>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</si>
  <si>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</si>
  <si>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</si>
  <si>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</si>
  <si>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</si>
  <si>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</si>
  <si>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</si>
  <si>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</si>
  <si>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</si>
  <si>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</si>
  <si>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</si>
  <si>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</si>
  <si>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</si>
  <si>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</si>
  <si>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</si>
  <si>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</si>
  <si>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</si>
  <si>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</si>
  <si>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</si>
  <si>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</si>
  <si>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</si>
  <si>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</si>
  <si>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</si>
  <si>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</si>
  <si>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</si>
  <si>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</si>
  <si>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</si>
  <si>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</si>
  <si>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</si>
  <si>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</si>
  <si>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</si>
  <si>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</si>
  <si>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</si>
  <si>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</si>
  <si>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</si>
  <si>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</si>
  <si>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</si>
  <si>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</si>
  <si>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</si>
  <si>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</si>
  <si>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</si>
  <si>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</si>
  <si>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</si>
  <si>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</si>
  <si>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</si>
  <si>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</si>
  <si>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</si>
  <si>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</si>
  <si>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</si>
  <si>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</si>
  <si>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</si>
  <si>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</si>
  <si>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</si>
  <si>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</si>
  <si>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</si>
  <si>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</si>
  <si>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</si>
  <si>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</si>
  <si>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</si>
  <si>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</si>
  <si>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</si>
  <si>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</si>
  <si>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</si>
  <si>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</si>
  <si>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</si>
  <si>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</si>
  <si>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</si>
  <si>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</si>
  <si>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</si>
  <si>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</si>
  <si>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</si>
  <si>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</si>
  <si>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</si>
  <si>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</si>
  <si>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</si>
  <si>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</si>
  <si>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</si>
  <si>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</si>
  <si>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</si>
  <si>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</si>
  <si>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</si>
  <si>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</si>
  <si>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</si>
  <si>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</si>
  <si>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</si>
  <si>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</si>
  <si>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</si>
  <si>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</si>
  <si>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</si>
  <si>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</si>
  <si>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</si>
  <si>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</si>
  <si>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</si>
  <si>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</si>
  <si>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</si>
  <si>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</si>
  <si>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</si>
  <si>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</si>
  <si>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</si>
  <si>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</si>
  <si>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</si>
  <si>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</si>
  <si>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</si>
  <si>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</si>
  <si>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</si>
  <si>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</si>
  <si>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</si>
  <si>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</si>
  <si>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</si>
  <si>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</si>
  <si>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</si>
  <si>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</si>
  <si>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</si>
  <si>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</si>
  <si>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</si>
  <si>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</si>
  <si>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</si>
  <si>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</si>
  <si>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</si>
  <si>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</si>
  <si>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</si>
  <si>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</si>
  <si>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</si>
  <si>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</si>
  <si>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</si>
  <si>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</si>
  <si>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</si>
  <si>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</si>
  <si>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</si>
  <si>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</si>
  <si>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</si>
  <si>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</si>
  <si>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</si>
  <si>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</si>
  <si>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</si>
  <si>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</si>
  <si>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</si>
  <si>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</si>
  <si>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</si>
  <si>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</si>
  <si>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</si>
  <si>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</si>
  <si>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</si>
  <si>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</si>
  <si>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</si>
  <si>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</si>
  <si>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</si>
  <si>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</si>
  <si>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</si>
  <si>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</si>
  <si>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</si>
  <si>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</si>
  <si>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</si>
  <si>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</si>
  <si>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</si>
  <si>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</si>
  <si>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</si>
  <si>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</si>
  <si>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</si>
  <si>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</si>
  <si>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</si>
  <si>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</si>
  <si>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</si>
  <si>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</si>
  <si>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</si>
  <si>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</si>
  <si>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</si>
  <si>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</si>
  <si>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</si>
  <si>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</si>
  <si>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</si>
  <si>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</si>
  <si>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</si>
  <si>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</si>
  <si>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</si>
  <si>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</si>
  <si>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</si>
  <si>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</si>
  <si>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</si>
  <si>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</si>
  <si>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</si>
  <si>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</si>
  <si>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</si>
  <si>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</si>
  <si>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</si>
  <si>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</si>
  <si>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</si>
  <si>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</si>
  <si>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</si>
  <si>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</si>
  <si>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</si>
  <si>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</si>
  <si>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</si>
  <si>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</si>
  <si>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</si>
  <si>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</si>
  <si>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</si>
  <si>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</si>
  <si>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</si>
  <si>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</si>
  <si>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</si>
  <si>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</si>
  <si>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</si>
  <si>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</si>
  <si>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</si>
  <si>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</si>
  <si>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</si>
  <si>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</si>
  <si>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</si>
  <si>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</si>
  <si>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</si>
  <si>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</si>
  <si>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</si>
  <si>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</si>
  <si>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</si>
  <si>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</si>
  <si>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</si>
  <si>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</si>
  <si>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</si>
  <si>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</si>
  <si>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</si>
  <si>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</si>
  <si>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</si>
  <si>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</si>
  <si>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</si>
  <si>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</si>
  <si>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</si>
  <si>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</si>
  <si>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</si>
  <si>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</si>
  <si>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</si>
  <si>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</si>
  <si>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</si>
  <si>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</si>
  <si>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</si>
  <si>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</si>
  <si>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</si>
  <si>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</si>
  <si>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</si>
  <si>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</si>
  <si>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</si>
  <si>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</si>
  <si>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</si>
  <si>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</si>
  <si>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</si>
  <si>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</si>
  <si>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</si>
  <si>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</si>
  <si>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</si>
  <si>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</si>
  <si>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</si>
  <si>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</si>
  <si>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</si>
  <si>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</si>
  <si>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</si>
  <si>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</si>
  <si>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</si>
  <si>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</si>
  <si>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</si>
  <si>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</si>
  <si>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</si>
  <si>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</si>
  <si>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</si>
  <si>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</si>
  <si>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</si>
  <si>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</si>
  <si>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</si>
  <si>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</si>
  <si>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</si>
  <si>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</si>
  <si>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</si>
  <si>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</si>
  <si>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</si>
  <si>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</si>
  <si>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</si>
  <si>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</si>
  <si>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</si>
  <si>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</si>
  <si>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</si>
  <si>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</si>
  <si>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</si>
  <si>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</si>
  <si>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</si>
  <si>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</si>
  <si>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</si>
  <si>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</si>
  <si>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</si>
  <si>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</si>
  <si>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</si>
  <si>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</si>
  <si>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</si>
  <si>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</si>
  <si>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</si>
  <si>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</si>
  <si>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</si>
  <si>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</si>
  <si>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</si>
  <si>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</si>
  <si>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</si>
  <si>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</si>
  <si>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</si>
  <si>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</si>
  <si>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</si>
  <si>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</si>
  <si>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</si>
  <si>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</si>
  <si>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</si>
  <si>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</si>
  <si>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</si>
  <si>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</si>
  <si>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</si>
  <si>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</si>
  <si>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</si>
  <si>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</si>
  <si>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</si>
  <si>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</si>
  <si>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</si>
  <si>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</si>
  <si>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</si>
  <si>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</si>
  <si>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</si>
  <si>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</si>
  <si>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</si>
  <si>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</si>
  <si>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</si>
  <si>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</si>
  <si>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</si>
  <si>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</si>
  <si>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</si>
  <si>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</si>
  <si>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</si>
  <si>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</si>
  <si>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</si>
  <si>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</si>
  <si>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</si>
  <si>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</si>
  <si>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</si>
  <si>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</si>
  <si>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</si>
  <si>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</si>
  <si>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</si>
  <si>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</si>
  <si>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</si>
  <si>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</si>
  <si>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</si>
  <si>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</si>
  <si>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</si>
  <si>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</si>
  <si>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</si>
  <si>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</si>
  <si>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</si>
  <si>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</si>
  <si>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</si>
  <si>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</si>
  <si>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</si>
  <si>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</si>
  <si>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</si>
  <si>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</si>
  <si>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</si>
  <si>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</si>
  <si>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</si>
  <si>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</si>
  <si>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</si>
  <si>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</si>
  <si>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</si>
  <si>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</si>
  <si>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</si>
  <si>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</si>
  <si>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</si>
  <si>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</si>
  <si>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</si>
  <si>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</si>
  <si>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</si>
  <si>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</si>
  <si>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</si>
  <si>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</si>
  <si>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</si>
  <si>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</si>
  <si>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</si>
  <si>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</si>
  <si>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</si>
  <si>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</si>
  <si>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</si>
  <si>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</si>
  <si>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</si>
  <si>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</si>
  <si>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</si>
  <si>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</si>
  <si>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</si>
  <si>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</si>
  <si>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</si>
  <si>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</si>
  <si>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</si>
  <si>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</si>
  <si>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</si>
  <si>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</si>
  <si>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</si>
  <si>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</si>
  <si>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</si>
  <si>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</si>
  <si>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</si>
  <si>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</si>
  <si>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</si>
  <si>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</si>
  <si>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</si>
  <si>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</si>
  <si>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</si>
  <si>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</si>
  <si>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</si>
  <si>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</si>
  <si>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</si>
  <si>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</si>
  <si>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</si>
  <si>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</si>
  <si>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</si>
  <si>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</si>
  <si>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</si>
  <si>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</si>
  <si>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</si>
  <si>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</si>
  <si>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</si>
  <si>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</si>
  <si>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</si>
  <si>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</si>
  <si>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</si>
  <si>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</si>
  <si>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</si>
  <si>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</si>
  <si>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</si>
  <si>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</si>
  <si>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</si>
  <si>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</si>
  <si>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</si>
  <si>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</si>
  <si>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</si>
  <si>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</si>
  <si>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</si>
  <si>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</si>
  <si>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</si>
  <si>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</si>
  <si>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</si>
  <si>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</si>
  <si>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</si>
  <si>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</si>
  <si>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</si>
  <si>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</si>
  <si>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</si>
  <si>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</si>
  <si>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</si>
  <si>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</si>
  <si>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</si>
  <si>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</si>
  <si>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</si>
  <si>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</si>
  <si>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</si>
  <si>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</si>
  <si>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</si>
  <si>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</si>
  <si>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</si>
  <si>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</si>
  <si>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</si>
  <si>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</si>
  <si>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</si>
  <si>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</si>
  <si>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</si>
  <si>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</si>
  <si>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</si>
  <si>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</si>
  <si>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</si>
  <si>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</si>
  <si>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</si>
  <si>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</si>
  <si>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</si>
  <si>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</si>
  <si>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</si>
  <si>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</si>
  <si>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</si>
  <si>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</si>
  <si>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</si>
  <si>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</si>
  <si>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</si>
  <si>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</si>
  <si>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</si>
  <si>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</si>
  <si>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</si>
  <si>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</si>
  <si>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</si>
  <si>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</si>
  <si>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</si>
  <si>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</si>
  <si>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</si>
  <si>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</si>
  <si>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</si>
  <si>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</si>
  <si>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</si>
  <si>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</si>
  <si>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</si>
  <si>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</si>
  <si>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</si>
  <si>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</si>
  <si>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</si>
  <si>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</si>
  <si>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</si>
  <si>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</si>
  <si>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</si>
  <si>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</si>
  <si>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</si>
  <si>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</si>
  <si>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</si>
  <si>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</si>
  <si>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</si>
  <si>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</si>
  <si>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</si>
  <si>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</si>
  <si>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</si>
  <si>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</si>
  <si>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</si>
  <si>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</si>
  <si>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</si>
  <si>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</si>
  <si>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</si>
  <si>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</si>
  <si>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</si>
  <si>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</si>
  <si>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</si>
  <si>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</si>
  <si>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</si>
  <si>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</si>
  <si>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</si>
  <si>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</si>
  <si>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</si>
  <si>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</si>
  <si>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</si>
  <si>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</si>
  <si>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</si>
  <si>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</si>
  <si>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</si>
  <si>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</si>
  <si>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</si>
  <si>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</si>
  <si>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</si>
  <si>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</si>
  <si>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</si>
  <si>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</si>
  <si>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</si>
  <si>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</si>
  <si>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</si>
  <si>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</si>
  <si>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</si>
  <si>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</si>
  <si>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</si>
  <si>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</si>
  <si>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</si>
  <si>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</si>
  <si>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</si>
  <si>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</si>
  <si>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</si>
  <si>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</si>
  <si>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</si>
  <si>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</si>
  <si>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</si>
  <si>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</si>
  <si>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</si>
  <si>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</si>
  <si>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</si>
  <si>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</si>
  <si>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</si>
  <si>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</si>
  <si>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</si>
  <si>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</si>
  <si>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</si>
  <si>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</si>
  <si>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</si>
  <si>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</si>
  <si>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</si>
  <si>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</si>
  <si>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</si>
  <si>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</si>
  <si>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</si>
  <si>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</si>
  <si>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</si>
  <si>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</si>
  <si>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</si>
  <si>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</si>
  <si>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</si>
  <si>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</si>
  <si>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</si>
  <si>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</si>
  <si>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</si>
  <si>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</si>
  <si>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</si>
  <si>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</si>
  <si>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</si>
  <si>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</si>
  <si>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</si>
  <si>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</si>
  <si>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</si>
  <si>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</si>
  <si>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</si>
  <si>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</si>
  <si>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</si>
  <si>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</si>
  <si>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</si>
  <si>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</si>
  <si>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</si>
  <si>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</si>
  <si>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</si>
  <si>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</si>
  <si>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</si>
  <si>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</si>
  <si>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</si>
  <si>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</si>
  <si>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</si>
  <si>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</si>
  <si>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</si>
  <si>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</si>
  <si>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</si>
  <si>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</si>
  <si>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</si>
  <si>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</si>
  <si>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</si>
  <si>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</si>
  <si>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</si>
  <si>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</si>
  <si>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</si>
  <si>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</si>
  <si>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</si>
  <si>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</si>
  <si>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</si>
  <si>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</si>
  <si>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</si>
  <si>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</si>
  <si>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</si>
  <si>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</si>
  <si>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</si>
  <si>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</si>
  <si>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</si>
  <si>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</si>
  <si>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</si>
  <si>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</si>
  <si>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</si>
  <si>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</si>
  <si>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</si>
  <si>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</si>
  <si>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</si>
  <si>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</si>
  <si>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</si>
  <si>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</si>
  <si>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</si>
  <si>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</si>
  <si>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</si>
  <si>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</si>
  <si>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</si>
  <si>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</si>
  <si>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</si>
  <si>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</si>
  <si>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</si>
  <si>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</si>
  <si>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</si>
  <si>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</si>
  <si>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</si>
  <si>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</si>
  <si>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</si>
  <si>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</si>
  <si>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</si>
  <si>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</si>
  <si>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</si>
  <si>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</si>
  <si>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</si>
  <si>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</si>
  <si>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</si>
  <si>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</si>
  <si>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</si>
  <si>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</si>
  <si>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</si>
  <si>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</si>
  <si>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</si>
  <si>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</si>
  <si>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</si>
  <si>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</si>
  <si>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</si>
  <si>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</si>
  <si>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</si>
  <si>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</si>
  <si>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</si>
  <si>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</si>
  <si>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</si>
  <si>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</si>
  <si>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</si>
  <si>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</si>
  <si>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</si>
  <si>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</si>
  <si>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</si>
  <si>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</si>
  <si>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</si>
  <si>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</si>
  <si>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</si>
  <si>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</si>
  <si>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</si>
  <si>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</si>
  <si>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</si>
  <si>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</si>
  <si>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</si>
  <si>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</si>
  <si>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</si>
  <si>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</si>
  <si>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</si>
  <si>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</si>
  <si>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</si>
  <si>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</si>
  <si>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</si>
  <si>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</si>
  <si>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</si>
  <si>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</si>
  <si>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</si>
  <si>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</si>
  <si>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</si>
  <si>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</si>
  <si>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</si>
  <si>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</si>
  <si>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</si>
  <si>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</si>
  <si>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</si>
  <si>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</si>
  <si>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</si>
  <si>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</si>
  <si>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</si>
  <si>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</si>
  <si>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</si>
  <si>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</si>
  <si>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</si>
  <si>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</si>
  <si>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</si>
  <si>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</si>
  <si>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</si>
  <si>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</si>
  <si>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</si>
  <si>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</si>
  <si>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</si>
  <si>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</si>
  <si>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</si>
  <si>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</si>
  <si>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</si>
  <si>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</si>
  <si>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</si>
  <si>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</si>
  <si>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</si>
  <si>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</si>
  <si>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</si>
  <si>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</si>
  <si>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</si>
  <si>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</si>
  <si>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</si>
  <si>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</si>
  <si>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</si>
  <si>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</si>
  <si>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</si>
  <si>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</si>
  <si>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</si>
  <si>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</si>
  <si>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</si>
  <si>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</si>
  <si>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</si>
  <si>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</si>
  <si>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</si>
  <si>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</si>
  <si>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</si>
  <si>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</si>
  <si>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</si>
  <si>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</si>
  <si>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</si>
  <si>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</si>
  <si>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</si>
  <si>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</si>
  <si>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</si>
  <si>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</si>
  <si>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</si>
  <si>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</si>
  <si>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</si>
  <si>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</si>
  <si>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</si>
  <si>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</si>
  <si>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</si>
  <si>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</si>
  <si>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</si>
  <si>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</si>
  <si>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</si>
  <si>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</si>
  <si>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</si>
  <si>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</si>
  <si>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</si>
  <si>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</si>
  <si>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</si>
  <si>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</si>
  <si>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</si>
  <si>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</si>
  <si>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</si>
  <si>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</si>
  <si>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</si>
  <si>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</si>
  <si>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</si>
  <si>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</si>
  <si>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</si>
  <si>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</si>
  <si>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</si>
  <si>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</si>
  <si>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</si>
  <si>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</si>
  <si>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</si>
  <si>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</si>
  <si>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</si>
  <si>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</si>
  <si>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</si>
  <si>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</si>
  <si>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</si>
  <si>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</si>
  <si>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</si>
  <si>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</si>
  <si>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</si>
  <si>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</si>
  <si>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</si>
  <si>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</si>
  <si>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</si>
  <si>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</si>
  <si>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</si>
  <si>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</si>
  <si>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</si>
  <si>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</si>
  <si>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</si>
  <si>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</si>
  <si>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</si>
  <si>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</si>
  <si>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</si>
  <si>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</si>
  <si>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</si>
  <si>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</si>
  <si>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</si>
  <si>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</si>
  <si>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</si>
  <si>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</si>
  <si>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</si>
  <si>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</si>
  <si>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</si>
  <si>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</si>
  <si>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</si>
  <si>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</si>
  <si>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</si>
  <si>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</si>
  <si>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</si>
  <si>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</si>
  <si>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</si>
  <si>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</si>
  <si>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</si>
  <si>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</si>
  <si>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</si>
  <si>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</si>
  <si>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</si>
  <si>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</si>
  <si>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</si>
  <si>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</si>
  <si>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</si>
  <si>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</si>
  <si>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</si>
  <si>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</si>
  <si>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</si>
  <si>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</si>
  <si>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</si>
  <si>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</si>
  <si>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</si>
  <si>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</si>
  <si>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</si>
  <si>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</si>
  <si>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</si>
  <si>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</si>
  <si>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</si>
  <si>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</si>
  <si>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</si>
  <si>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</si>
  <si>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</si>
  <si>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</si>
  <si>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</si>
  <si>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</si>
  <si>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</si>
  <si>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</si>
  <si>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</si>
  <si>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</si>
  <si>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</si>
  <si>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</si>
  <si>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</si>
  <si>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</si>
  <si>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</si>
  <si>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</si>
  <si>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</si>
  <si>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</si>
  <si>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</si>
  <si>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</si>
  <si>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</si>
  <si>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</si>
  <si>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</si>
  <si>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</si>
  <si>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</si>
  <si>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</si>
  <si>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</si>
  <si>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</si>
  <si>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</si>
  <si>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</si>
  <si>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</si>
  <si>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</si>
  <si>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</si>
  <si>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</si>
  <si>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</si>
  <si>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</si>
  <si>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</si>
  <si>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</si>
  <si>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</si>
  <si>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</si>
  <si>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</si>
  <si>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</si>
  <si>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</si>
  <si>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</si>
  <si>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</si>
  <si>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</si>
  <si>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</si>
  <si>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</si>
  <si>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</si>
  <si>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</si>
  <si>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</si>
  <si>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</si>
  <si>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</si>
  <si>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</si>
  <si>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</si>
  <si>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</si>
  <si>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</si>
  <si>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</si>
  <si>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</si>
  <si>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</si>
  <si>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</si>
  <si>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</si>
  <si>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</si>
  <si>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</si>
  <si>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</si>
  <si>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</si>
  <si>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</si>
  <si>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</si>
  <si>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</si>
  <si>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</si>
  <si>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</si>
  <si>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</si>
  <si>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</si>
  <si>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</si>
  <si>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</si>
  <si>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</si>
  <si>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</si>
  <si>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</si>
  <si>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</si>
  <si>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</si>
  <si>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</si>
  <si>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</si>
  <si>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</si>
  <si>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</si>
  <si>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</si>
  <si>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</si>
  <si>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</si>
  <si>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</si>
  <si>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</si>
  <si>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</si>
  <si>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</si>
  <si>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</si>
  <si>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</si>
  <si>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</si>
  <si>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</si>
  <si>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</si>
  <si>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</si>
  <si>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</si>
  <si>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</si>
  <si>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</si>
  <si>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</si>
  <si>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</si>
  <si>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</si>
  <si>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</si>
  <si>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</si>
  <si>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</si>
  <si>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</si>
  <si>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</si>
  <si>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</si>
  <si>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</si>
  <si>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</si>
  <si>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</si>
  <si>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</si>
  <si>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</si>
  <si>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</si>
  <si>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</si>
  <si>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</si>
  <si>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</si>
  <si>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</si>
  <si>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</si>
  <si>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</si>
  <si>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</si>
  <si>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</si>
  <si>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</si>
  <si>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</si>
  <si>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</si>
  <si>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</si>
  <si>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</si>
  <si>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</si>
  <si>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</si>
  <si>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</si>
  <si>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</si>
  <si>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</si>
  <si>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</si>
  <si>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</si>
  <si>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</si>
  <si>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</si>
  <si>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</si>
  <si>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</si>
  <si>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</si>
  <si>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</si>
  <si>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</si>
  <si>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</si>
  <si>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</si>
  <si>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</si>
  <si>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</si>
  <si>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</si>
  <si>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</si>
  <si>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</si>
  <si>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</si>
  <si>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</si>
  <si>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</si>
  <si>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</si>
  <si>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</si>
  <si>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</si>
  <si>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</si>
  <si>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</si>
  <si>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</si>
  <si>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</si>
  <si>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</si>
  <si>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</si>
  <si>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</si>
  <si>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</si>
  <si>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</si>
  <si>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</si>
  <si>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</si>
  <si>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</si>
  <si>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</si>
  <si>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</si>
  <si>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</si>
  <si>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</si>
  <si>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</si>
  <si>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</si>
  <si>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</si>
  <si>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</si>
  <si>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</si>
  <si>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</si>
  <si>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</si>
  <si>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</si>
  <si>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</si>
  <si>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</si>
  <si>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</si>
  <si>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</si>
  <si>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</si>
  <si>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</si>
  <si>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</si>
  <si>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</si>
  <si>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</si>
  <si>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</si>
  <si>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</si>
  <si>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</si>
  <si>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</si>
  <si>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</si>
  <si>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</si>
  <si>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</si>
  <si>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</si>
  <si>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</si>
  <si>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</si>
  <si>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</si>
  <si>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</si>
  <si>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</si>
  <si>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</si>
  <si>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</si>
  <si>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</si>
  <si>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</si>
  <si>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</si>
  <si>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</si>
  <si>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</si>
  <si>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</si>
  <si>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</si>
  <si>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</si>
  <si>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</si>
  <si>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</si>
  <si>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</si>
  <si>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</si>
  <si>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</si>
  <si>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</si>
  <si>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</si>
  <si>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</si>
  <si>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</si>
  <si>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</si>
  <si>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</si>
  <si>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</si>
  <si>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</si>
  <si>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</si>
  <si>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</si>
  <si>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</si>
  <si>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</si>
  <si>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</si>
  <si>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</si>
  <si>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</si>
  <si>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</si>
  <si>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</si>
  <si>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</si>
  <si>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</si>
  <si>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</si>
  <si>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</si>
  <si>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</si>
  <si>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</si>
  <si>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</si>
  <si>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</si>
  <si>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</si>
  <si>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</si>
  <si>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</si>
  <si>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</si>
  <si>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</si>
  <si>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</si>
  <si>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</si>
  <si>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</si>
  <si>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</si>
  <si>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</si>
  <si>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</si>
  <si>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</si>
  <si>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</si>
  <si>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</si>
  <si>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</si>
  <si>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</si>
  <si>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</si>
  <si>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</si>
  <si>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</si>
  <si>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</si>
  <si>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</si>
  <si>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</si>
  <si>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</si>
  <si>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</si>
  <si>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</si>
  <si>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</si>
  <si>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</si>
  <si>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</si>
  <si>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</si>
  <si>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</si>
  <si>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</si>
  <si>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</si>
  <si>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</si>
  <si>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</si>
  <si>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</si>
  <si>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</si>
  <si>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</si>
  <si>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</si>
  <si>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</si>
  <si>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</si>
  <si>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</si>
  <si>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</si>
  <si>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</si>
  <si>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</si>
  <si>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</si>
  <si>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</si>
  <si>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</si>
  <si>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</si>
  <si>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</si>
  <si>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</si>
  <si>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</si>
  <si>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</si>
  <si>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</si>
  <si>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</si>
  <si>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</si>
  <si>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</si>
  <si>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</si>
  <si>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</si>
  <si>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</si>
  <si>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</si>
  <si>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</si>
  <si>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</si>
  <si>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</si>
  <si>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</si>
  <si>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</si>
  <si>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</si>
  <si>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</si>
  <si>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</si>
  <si>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</si>
  <si>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</si>
  <si>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</si>
  <si>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</si>
  <si>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</si>
  <si>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</si>
  <si>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</si>
  <si>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</si>
  <si>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</si>
  <si>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</si>
  <si>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</si>
  <si>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</si>
  <si>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</si>
  <si>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</si>
  <si>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</si>
  <si>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</si>
  <si>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</si>
  <si>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</si>
  <si>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</si>
  <si>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</si>
  <si>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</si>
  <si>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</si>
  <si>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</si>
  <si>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</si>
  <si>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</si>
  <si>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</si>
  <si>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</si>
  <si>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</si>
  <si>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</si>
  <si>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</si>
  <si>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</si>
  <si>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</si>
  <si>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</si>
  <si>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</si>
  <si>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</si>
  <si>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</si>
  <si>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</si>
  <si>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</si>
  <si>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</si>
  <si>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</si>
  <si>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</si>
  <si>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</si>
  <si>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</si>
  <si>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</si>
  <si>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</si>
  <si>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</si>
  <si>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</si>
  <si>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</si>
  <si>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</si>
  <si>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</si>
  <si>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</si>
  <si>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</si>
  <si>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</si>
  <si>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</si>
  <si>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</si>
  <si>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</si>
  <si>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</si>
  <si>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</si>
  <si>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</si>
  <si>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</si>
  <si>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</si>
  <si>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</si>
  <si>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</si>
  <si>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</si>
  <si>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</si>
  <si>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</si>
  <si>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</si>
  <si>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</si>
  <si>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</si>
  <si>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</si>
  <si>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</si>
  <si>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</si>
  <si>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</si>
  <si>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</si>
  <si>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</si>
  <si>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</si>
  <si>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</si>
  <si>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</si>
  <si>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</si>
  <si>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</si>
  <si>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</si>
  <si>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</si>
  <si>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</si>
  <si>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</si>
  <si>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</si>
  <si>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</si>
  <si>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</si>
  <si>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</si>
  <si>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</si>
  <si>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</si>
  <si>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</si>
  <si>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</si>
  <si>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</si>
  <si>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</si>
  <si>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</si>
  <si>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</si>
  <si>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</si>
  <si>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</si>
  <si>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</si>
  <si>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</si>
  <si>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</si>
  <si>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</si>
  <si>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</si>
  <si>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</si>
  <si>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</si>
  <si>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</si>
  <si>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</si>
  <si>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</si>
  <si>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</si>
  <si>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</si>
  <si>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</si>
  <si>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</si>
  <si>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</si>
  <si>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</si>
  <si>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</si>
  <si>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</si>
  <si>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</si>
  <si>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</si>
  <si>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</si>
  <si>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</si>
  <si>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</si>
  <si>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</si>
  <si>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</si>
  <si>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</si>
  <si>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</si>
  <si>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</si>
  <si>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</si>
  <si>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</si>
  <si>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</si>
  <si>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</si>
  <si>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</si>
  <si>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</si>
  <si>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</si>
  <si>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</si>
  <si>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</si>
  <si>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</si>
  <si>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</si>
  <si>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</si>
  <si>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</si>
  <si>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</si>
  <si>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</si>
  <si>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</si>
  <si>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</si>
  <si>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</si>
  <si>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</si>
  <si>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</si>
  <si>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</si>
  <si>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</si>
  <si>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</si>
  <si>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</si>
  <si>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</si>
  <si>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</si>
  <si>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</si>
  <si>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</si>
  <si>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</si>
  <si>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</si>
  <si>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</si>
  <si>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</si>
  <si>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</si>
  <si>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</si>
  <si>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</si>
  <si>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</si>
  <si>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</si>
  <si>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</si>
  <si>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</si>
  <si>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</si>
  <si>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</si>
  <si>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</si>
  <si>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</si>
  <si>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</si>
  <si>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</si>
  <si>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</si>
  <si>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</si>
  <si>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</si>
  <si>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</si>
  <si>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</si>
  <si>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</si>
  <si>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</si>
  <si>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</si>
  <si>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</si>
  <si>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</si>
  <si>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</si>
  <si>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</si>
  <si>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</si>
  <si>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</si>
  <si>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</si>
  <si>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</si>
  <si>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</si>
  <si>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</si>
  <si>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</si>
  <si>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</si>
  <si>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</si>
  <si>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</si>
  <si>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</si>
  <si>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</si>
  <si>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</si>
  <si>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</si>
  <si>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</si>
  <si>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</si>
  <si>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</si>
  <si>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</si>
  <si>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</si>
  <si>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</si>
  <si>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</si>
  <si>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</si>
  <si>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</si>
  <si>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</si>
  <si>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</si>
  <si>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</si>
  <si>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</si>
  <si>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</si>
  <si>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</si>
  <si>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</si>
  <si>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</si>
  <si>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</si>
  <si>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</si>
  <si>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</si>
  <si>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</si>
  <si>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</si>
  <si>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</si>
  <si>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</si>
  <si>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</si>
  <si>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</si>
  <si>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</si>
  <si>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</si>
  <si>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</si>
  <si>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</si>
  <si>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</si>
  <si>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</si>
  <si>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</si>
  <si>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</si>
  <si>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</si>
  <si>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</si>
  <si>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</si>
  <si>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</si>
  <si>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</si>
  <si>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</si>
  <si>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</si>
  <si>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</si>
  <si>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</si>
  <si>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</si>
  <si>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</si>
  <si>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</si>
  <si>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</si>
  <si>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</si>
  <si>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</si>
  <si>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</si>
  <si>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</si>
  <si>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</si>
  <si>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</si>
  <si>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</si>
  <si>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</si>
  <si>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</si>
  <si>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</si>
  <si>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</si>
  <si>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</si>
  <si>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</si>
  <si>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</si>
  <si>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</si>
  <si>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</si>
  <si>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</si>
  <si>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</si>
  <si>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</si>
  <si>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</si>
  <si>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</si>
  <si>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</si>
  <si>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</si>
  <si>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</si>
  <si>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</si>
  <si>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</si>
  <si>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</si>
  <si>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</si>
  <si>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</si>
  <si>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</si>
  <si>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</si>
  <si>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</si>
  <si>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</si>
  <si>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</si>
  <si>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</si>
  <si>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</si>
  <si>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</si>
  <si>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</si>
  <si>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</si>
  <si>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</si>
  <si>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</si>
  <si>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</si>
  <si>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</si>
  <si>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</si>
  <si>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</si>
  <si>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</si>
  <si>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</si>
  <si>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</si>
  <si>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</si>
  <si>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</si>
  <si>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</si>
  <si>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</si>
  <si>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</si>
  <si>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</si>
  <si>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</si>
  <si>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</si>
  <si>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</si>
  <si>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</si>
  <si>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</si>
  <si>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</si>
  <si>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</si>
  <si>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</si>
  <si>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</si>
  <si>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</si>
  <si>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</si>
  <si>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</si>
  <si>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</si>
  <si>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</si>
  <si>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</si>
  <si>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</si>
  <si>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</si>
  <si>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</si>
  <si>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</si>
  <si>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</si>
  <si>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</si>
  <si>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</si>
  <si>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</si>
  <si>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</si>
  <si>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</si>
  <si>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</si>
  <si>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</si>
  <si>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</si>
  <si>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</si>
  <si>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</si>
  <si>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</si>
  <si>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</si>
  <si>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</si>
  <si>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</si>
  <si>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</si>
  <si>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</si>
  <si>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</si>
  <si>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</si>
  <si>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</si>
  <si>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</si>
  <si>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</si>
  <si>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</si>
  <si>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</si>
  <si>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</si>
  <si>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</si>
  <si>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</si>
  <si>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</si>
  <si>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</si>
  <si>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</si>
  <si>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</si>
  <si>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</si>
  <si>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</si>
  <si>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</si>
  <si>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</si>
  <si>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</si>
  <si>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</si>
  <si>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</si>
  <si>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</si>
  <si>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</si>
  <si>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</si>
  <si>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</si>
  <si>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</si>
  <si>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</si>
  <si>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</si>
  <si>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</si>
  <si>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</si>
  <si>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</si>
  <si>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</si>
  <si>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</si>
  <si>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</si>
  <si>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</si>
  <si>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</si>
  <si>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</si>
  <si>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</si>
  <si>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</si>
  <si>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</si>
  <si>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</si>
  <si>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</si>
  <si>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</si>
  <si>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</si>
  <si>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</si>
  <si>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</si>
  <si>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</si>
  <si>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</si>
  <si>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</si>
  <si>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</si>
  <si>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</si>
  <si>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</si>
  <si>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</si>
  <si>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</si>
  <si>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</si>
  <si>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</si>
  <si>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</si>
  <si>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</si>
  <si>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</si>
  <si>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</si>
  <si>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</si>
  <si>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</si>
  <si>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</si>
  <si>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</si>
  <si>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</si>
  <si>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</si>
  <si>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</si>
  <si>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</si>
  <si>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</si>
  <si>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</si>
  <si>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</si>
  <si>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</si>
  <si>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</si>
  <si>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</si>
  <si>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</si>
  <si>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</si>
  <si>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</si>
  <si>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</si>
  <si>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</si>
  <si>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</si>
  <si>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</si>
  <si>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</si>
  <si>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</si>
  <si>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</si>
  <si>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</si>
  <si>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</si>
  <si>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</si>
  <si>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</si>
  <si>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</si>
  <si>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</si>
  <si>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</si>
  <si>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</si>
  <si>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</si>
  <si>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</si>
  <si>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</si>
  <si>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</si>
  <si>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</si>
  <si>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</si>
  <si>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</si>
  <si>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</si>
  <si>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</si>
  <si>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</si>
  <si>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</si>
  <si>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</si>
  <si>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</si>
  <si>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</si>
  <si>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</si>
  <si>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</si>
  <si>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</si>
  <si>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</si>
  <si>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</si>
  <si>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</si>
  <si>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</si>
  <si>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</si>
  <si>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</si>
  <si>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</si>
  <si>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</si>
  <si>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</si>
  <si>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</si>
  <si>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</si>
  <si>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</si>
  <si>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</si>
  <si>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</si>
  <si>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</si>
  <si>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</si>
  <si>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</si>
  <si>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</si>
  <si>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</si>
  <si>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</si>
  <si>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</si>
  <si>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</si>
  <si>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</si>
  <si>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</si>
  <si>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</si>
  <si>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</si>
  <si>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</si>
  <si>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</si>
  <si>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</si>
  <si>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</si>
  <si>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</si>
  <si>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</si>
  <si>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</si>
  <si>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</si>
  <si>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</si>
  <si>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</si>
  <si>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</si>
  <si>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</si>
  <si>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</si>
  <si>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</si>
  <si>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</si>
  <si>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</si>
  <si>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</si>
  <si>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</si>
  <si>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</si>
  <si>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</si>
  <si>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</si>
  <si>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</si>
  <si>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</si>
  <si>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</si>
  <si>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</si>
  <si>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</si>
  <si>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</si>
  <si>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</si>
  <si>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</si>
  <si>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</si>
  <si>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</si>
  <si>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</si>
  <si>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</si>
  <si>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</si>
  <si>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</si>
  <si>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</si>
  <si>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</si>
  <si>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</si>
  <si>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</si>
  <si>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</si>
  <si>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</si>
  <si>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</si>
  <si>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</si>
  <si>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</si>
  <si>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</si>
  <si>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</si>
  <si>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</si>
  <si>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</si>
  <si>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</si>
  <si>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</si>
  <si>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</si>
  <si>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</si>
  <si>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</si>
  <si>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</si>
  <si>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</si>
  <si>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</si>
  <si>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</si>
  <si>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</si>
  <si>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</si>
  <si>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</si>
  <si>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</si>
  <si>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</si>
  <si>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</si>
  <si>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</si>
  <si>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</si>
  <si>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</si>
  <si>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</si>
  <si>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</si>
  <si>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</si>
  <si>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</si>
  <si>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</si>
  <si>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</si>
  <si>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</si>
  <si>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</si>
  <si>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</si>
  <si>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</si>
  <si>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</si>
  <si>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</si>
  <si>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</si>
  <si>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</si>
  <si>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</si>
  <si>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</si>
  <si>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</si>
  <si>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</si>
  <si>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</si>
  <si>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</si>
  <si>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</si>
  <si>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</si>
  <si>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</si>
  <si>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</si>
  <si>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</si>
  <si>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</si>
  <si>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</si>
  <si>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</si>
  <si>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</si>
  <si>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</si>
  <si>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</si>
  <si>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</si>
  <si>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</si>
  <si>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</si>
  <si>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</si>
  <si>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</si>
  <si>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</si>
  <si>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</si>
  <si>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</si>
  <si>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</si>
  <si>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</si>
  <si>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</si>
  <si>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</si>
  <si>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</si>
  <si>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</si>
  <si>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</si>
  <si>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</si>
  <si>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</si>
  <si>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</si>
  <si>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</si>
  <si>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</si>
  <si>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</si>
  <si>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</si>
  <si>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</si>
  <si>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</si>
  <si>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</si>
  <si>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</si>
  <si>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</si>
  <si>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</si>
  <si>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</si>
  <si>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</si>
  <si>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</si>
  <si>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</si>
  <si>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</si>
  <si>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</si>
  <si>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</si>
  <si>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</si>
  <si>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</si>
  <si>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</si>
  <si>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</si>
  <si>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</si>
  <si>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</si>
  <si>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</si>
  <si>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</si>
  <si>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</si>
  <si>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</si>
  <si>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</si>
  <si>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</si>
  <si>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</si>
  <si>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</si>
  <si>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</si>
  <si>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</si>
  <si>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</si>
  <si>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</si>
  <si>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</si>
  <si>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</si>
  <si>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</si>
  <si>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</si>
  <si>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</si>
  <si>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</si>
  <si>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</si>
  <si>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</si>
  <si>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</si>
  <si>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</si>
  <si>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</si>
  <si>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</si>
  <si>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</si>
  <si>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</si>
  <si>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</si>
  <si>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</si>
  <si>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</si>
  <si>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</si>
  <si>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</si>
  <si>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</si>
  <si>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</si>
  <si>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</si>
  <si>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</si>
  <si>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</si>
  <si>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</si>
  <si>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</si>
  <si>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</si>
  <si>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</si>
  <si>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</si>
  <si>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</si>
  <si>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</si>
  <si>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</si>
  <si>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</si>
  <si>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</si>
  <si>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</si>
  <si>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</si>
  <si>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</si>
  <si>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</si>
  <si>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</si>
  <si>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</si>
  <si>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</si>
  <si>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</si>
  <si>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</si>
  <si>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</si>
  <si>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</si>
  <si>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</si>
  <si>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</si>
  <si>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</si>
  <si>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</si>
  <si>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</si>
  <si>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</si>
  <si>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</si>
  <si>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</si>
  <si>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</si>
  <si>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</si>
  <si>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</si>
  <si>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</si>
  <si>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</si>
  <si>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</si>
  <si>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</si>
  <si>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</si>
  <si>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</si>
  <si>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</si>
  <si>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</si>
  <si>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</si>
  <si>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</si>
  <si>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</si>
  <si>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</si>
  <si>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</si>
  <si>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</si>
  <si>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</si>
  <si>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</si>
  <si>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</si>
  <si>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</si>
  <si>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</si>
  <si>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</si>
  <si>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</si>
  <si>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</si>
  <si>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</si>
  <si>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</si>
  <si>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</si>
  <si>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</si>
  <si>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</si>
  <si>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</si>
  <si>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</si>
  <si>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</si>
  <si>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</si>
  <si>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</si>
  <si>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</si>
  <si>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</si>
  <si>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</si>
  <si>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</si>
  <si>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</si>
  <si>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</si>
  <si>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</si>
  <si>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</si>
  <si>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</si>
  <si>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</si>
  <si>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</si>
  <si>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</si>
  <si>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</si>
  <si>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</si>
  <si>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</si>
  <si>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</si>
  <si>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</si>
  <si>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</si>
  <si>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</si>
  <si>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</si>
  <si>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</si>
  <si>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</si>
  <si>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</si>
  <si>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</si>
  <si>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</si>
  <si>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</si>
  <si>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</si>
  <si>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</si>
  <si>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</si>
  <si>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</si>
  <si>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</si>
  <si>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</si>
  <si>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</si>
  <si>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</si>
  <si>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</si>
  <si>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</si>
  <si>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</si>
  <si>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</si>
  <si>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</si>
  <si>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</si>
  <si>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</si>
  <si>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</si>
  <si>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</si>
  <si>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</si>
  <si>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</si>
  <si>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</si>
  <si>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</si>
  <si>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</si>
  <si>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</si>
  <si>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</si>
  <si>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</si>
  <si>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</si>
  <si>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</si>
  <si>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</si>
  <si>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</si>
  <si>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</si>
  <si>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</si>
  <si>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</si>
  <si>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</si>
  <si>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</si>
  <si>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</si>
  <si>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</si>
  <si>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</si>
  <si>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</si>
  <si>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</si>
  <si>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</si>
  <si>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</si>
  <si>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</si>
  <si>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</si>
  <si>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</si>
  <si>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</si>
  <si>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</si>
  <si>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</si>
  <si>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</si>
  <si>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</si>
  <si>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</si>
  <si>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</si>
  <si>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</si>
  <si>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</si>
  <si>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</si>
  <si>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</si>
  <si>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</si>
  <si>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</si>
  <si>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</si>
  <si>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</si>
  <si>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</si>
  <si>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</si>
  <si>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</si>
  <si>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</si>
  <si>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</si>
  <si>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</si>
  <si>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</si>
  <si>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</si>
  <si>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</si>
  <si>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</si>
  <si>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</si>
  <si>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</si>
  <si>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</si>
  <si>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</si>
  <si>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</si>
  <si>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</si>
  <si>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</si>
  <si>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</si>
  <si>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</si>
  <si>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</si>
  <si>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</si>
  <si>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</si>
  <si>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</si>
  <si>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</si>
  <si>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</si>
  <si>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</si>
  <si>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</si>
  <si>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</si>
  <si>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</si>
  <si>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</si>
  <si>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</si>
  <si>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</si>
  <si>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</si>
  <si>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</si>
  <si>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</si>
  <si>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</si>
  <si>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</si>
  <si>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</si>
  <si>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</si>
  <si>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</si>
  <si>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</si>
  <si>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</si>
  <si>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</si>
  <si>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</si>
  <si>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</si>
  <si>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</si>
  <si>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</si>
  <si>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</si>
  <si>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</si>
  <si>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</si>
  <si>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</si>
  <si>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</si>
  <si>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</si>
  <si>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</si>
  <si>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</si>
  <si>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</si>
  <si>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</si>
  <si>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</si>
  <si>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</si>
  <si>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</si>
  <si>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</si>
  <si>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</si>
  <si>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</si>
  <si>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</si>
  <si>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</si>
  <si>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</si>
  <si>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</si>
  <si>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</si>
  <si>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</si>
  <si>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</si>
  <si>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</si>
  <si>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</si>
  <si>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</si>
  <si>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</si>
  <si>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</si>
  <si>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</si>
  <si>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</si>
  <si>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</si>
  <si>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</si>
  <si>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</si>
  <si>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</si>
  <si>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</si>
  <si>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</si>
  <si>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</si>
  <si>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</si>
  <si>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</si>
  <si>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</si>
  <si>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</si>
  <si>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</si>
  <si>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</si>
  <si>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</si>
  <si>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</si>
  <si>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</si>
  <si>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</si>
  <si>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</si>
  <si>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</si>
  <si>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</si>
  <si>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</si>
  <si>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</si>
  <si>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</si>
  <si>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</si>
  <si>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</si>
  <si>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</si>
  <si>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</si>
  <si>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</si>
  <si>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</si>
  <si>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</si>
  <si>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</si>
  <si>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</si>
  <si>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</si>
  <si>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</si>
  <si>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</si>
  <si>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</si>
  <si>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</si>
  <si>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</si>
  <si>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</si>
  <si>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</si>
  <si>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</si>
  <si>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</si>
  <si>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</si>
  <si>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</si>
  <si>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</si>
  <si>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</si>
  <si>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</si>
  <si>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</si>
  <si>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</si>
  <si>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</si>
  <si>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</si>
  <si>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</si>
  <si>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</si>
  <si>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</si>
  <si>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</si>
  <si>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</si>
  <si>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</si>
  <si>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</si>
  <si>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</si>
  <si>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</si>
  <si>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</si>
  <si>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</si>
  <si>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</si>
  <si>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</si>
  <si>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</si>
  <si>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</si>
  <si>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</si>
  <si>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</si>
  <si>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</si>
  <si>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</si>
  <si>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</si>
  <si>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</si>
  <si>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</si>
  <si>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</si>
  <si>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</si>
  <si>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</si>
  <si>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</si>
  <si>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</si>
  <si>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</si>
  <si>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</si>
  <si>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</si>
  <si>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</si>
  <si>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</si>
  <si>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</si>
  <si>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</si>
  <si>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</si>
  <si>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</si>
  <si>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</si>
  <si>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</si>
  <si>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</si>
  <si>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</si>
  <si>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</si>
  <si>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</si>
  <si>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</si>
  <si>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</si>
  <si>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</si>
  <si>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</si>
  <si>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</si>
  <si>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</si>
  <si>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</si>
  <si>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</si>
  <si>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</si>
  <si>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</si>
  <si>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</si>
  <si>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</si>
  <si>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</si>
  <si>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</si>
  <si>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</si>
  <si>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</si>
  <si>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</si>
  <si>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</si>
  <si>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</si>
  <si>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</si>
  <si>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</si>
  <si>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</si>
  <si>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</si>
  <si>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</si>
  <si>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</si>
  <si>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</si>
  <si>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</si>
  <si>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</si>
  <si>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</si>
  <si>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</si>
  <si>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</si>
  <si>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</si>
  <si>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</si>
  <si>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</si>
  <si>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</si>
  <si>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</si>
  <si>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</si>
  <si>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</si>
  <si>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</si>
  <si>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</si>
  <si>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</si>
  <si>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</si>
  <si>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</si>
  <si>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</si>
  <si>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</si>
  <si>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</si>
  <si>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</si>
  <si>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</si>
  <si>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</si>
  <si>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</si>
  <si>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</si>
  <si>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</si>
  <si>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</si>
  <si>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</si>
  <si>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</si>
  <si>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</si>
  <si>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</si>
  <si>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</si>
  <si>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</si>
  <si>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</si>
  <si>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</si>
  <si>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</si>
  <si>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</si>
  <si>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</si>
  <si>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</si>
  <si>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</si>
  <si>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</si>
  <si>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</si>
  <si>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</si>
  <si>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</si>
  <si>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</si>
  <si>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</si>
  <si>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</si>
  <si>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</si>
  <si>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</si>
  <si>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</si>
  <si>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</si>
  <si>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</si>
  <si>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</si>
  <si>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</si>
  <si>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</si>
  <si>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</si>
  <si>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</si>
  <si>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</si>
  <si>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</si>
  <si>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</si>
  <si>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</si>
  <si>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</si>
  <si>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</si>
  <si>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</si>
  <si>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</si>
  <si>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</si>
  <si>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</si>
  <si>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</si>
  <si>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</si>
  <si>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</si>
  <si>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</si>
  <si>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</si>
  <si>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</si>
  <si>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</si>
  <si>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</si>
  <si>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</si>
  <si>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</si>
  <si>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</si>
  <si>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</si>
  <si>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</si>
  <si>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</si>
  <si>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</si>
  <si>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</si>
  <si>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</si>
  <si>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</si>
  <si>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</si>
  <si>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</si>
  <si>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</si>
  <si>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</si>
  <si>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</si>
  <si>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</si>
  <si>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</si>
  <si>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</si>
  <si>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</si>
  <si>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</si>
  <si>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</si>
  <si>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</si>
  <si>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</si>
  <si>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</si>
  <si>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</si>
  <si>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</si>
  <si>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</si>
  <si>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</si>
  <si>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</si>
  <si>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</si>
  <si>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</si>
  <si>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</si>
  <si>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</si>
  <si>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</si>
  <si>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</si>
  <si>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</si>
  <si>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</si>
  <si>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</si>
  <si>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</si>
  <si>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</si>
  <si>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</si>
  <si>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</si>
  <si>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</si>
  <si>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</si>
  <si>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</si>
  <si>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</si>
  <si>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</si>
  <si>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</si>
  <si>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</si>
  <si>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</si>
  <si>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</si>
  <si>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</si>
  <si>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</si>
  <si>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</si>
  <si>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</si>
  <si>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</si>
  <si>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</si>
  <si>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</si>
  <si>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</si>
  <si>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</si>
  <si>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</si>
  <si>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</si>
  <si>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</si>
  <si>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</si>
  <si>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</si>
  <si>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</si>
  <si>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</si>
  <si>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</si>
  <si>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</si>
  <si>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</si>
  <si>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</si>
  <si>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</si>
  <si>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</si>
  <si>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</si>
  <si>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</si>
  <si>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</si>
  <si>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</si>
  <si>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</si>
  <si>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</si>
  <si>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</si>
  <si>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</si>
  <si>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</si>
  <si>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</si>
  <si>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</si>
  <si>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</si>
  <si>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</si>
  <si>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</si>
  <si>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</si>
  <si>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</si>
  <si>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</si>
  <si>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</si>
  <si>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</si>
  <si>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</si>
  <si>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</si>
  <si>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</si>
  <si>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</si>
  <si>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</si>
  <si>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</si>
  <si>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</si>
  <si>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</si>
  <si>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</si>
  <si>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</si>
  <si>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</si>
  <si>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</si>
  <si>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</si>
  <si>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</si>
  <si>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</si>
  <si>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</si>
  <si>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</si>
  <si>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</si>
  <si>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</si>
  <si>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</si>
  <si>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</si>
  <si>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</si>
  <si>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</si>
  <si>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</si>
  <si>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</si>
  <si>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</si>
  <si>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</si>
  <si>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</si>
  <si>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</si>
  <si>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</si>
  <si>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</si>
  <si>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</si>
  <si>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</si>
  <si>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</si>
  <si>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</si>
  <si>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</si>
  <si>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</si>
  <si>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</si>
  <si>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</si>
  <si>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</si>
  <si>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</si>
  <si>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</si>
  <si>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</si>
  <si>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</si>
  <si>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</si>
  <si>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</si>
  <si>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</si>
  <si>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</si>
  <si>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</si>
  <si>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</si>
  <si>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</si>
  <si>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</si>
  <si>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</si>
  <si>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</si>
  <si>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</si>
  <si>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</si>
  <si>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</si>
  <si>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</si>
  <si>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</si>
  <si>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</si>
  <si>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</si>
  <si>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</si>
  <si>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</si>
  <si>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</si>
  <si>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</si>
  <si>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</si>
  <si>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</si>
  <si>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</si>
  <si>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</si>
  <si>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</si>
  <si>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</si>
  <si>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</si>
  <si>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</si>
  <si>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</si>
  <si>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</si>
  <si>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</si>
  <si>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</si>
  <si>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</si>
  <si>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</si>
  <si>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</si>
  <si>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</si>
  <si>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</si>
  <si>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</si>
  <si>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</si>
  <si>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</si>
  <si>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</si>
  <si>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</si>
  <si>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</si>
  <si>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</si>
  <si>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</si>
  <si>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</si>
  <si>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</si>
  <si>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</si>
  <si>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</si>
  <si>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</si>
  <si>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</si>
  <si>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</si>
  <si>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</si>
  <si>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</si>
  <si>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</si>
  <si>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</si>
  <si>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</si>
  <si>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</si>
  <si>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</si>
  <si>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</si>
  <si>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</si>
  <si>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</si>
  <si>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</si>
  <si>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</si>
  <si>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</si>
  <si>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</si>
  <si>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</si>
  <si>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</si>
  <si>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</si>
  <si>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</si>
  <si>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</si>
  <si>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</si>
  <si>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</si>
  <si>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</si>
  <si>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</si>
  <si>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</si>
  <si>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</si>
  <si>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</si>
  <si>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</si>
  <si>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</si>
  <si>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</si>
  <si>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</si>
  <si>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</si>
  <si>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</si>
  <si>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</si>
  <si>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</si>
  <si>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</si>
  <si>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</si>
  <si>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</si>
  <si>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</si>
  <si>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</si>
  <si>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</si>
  <si>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</si>
  <si>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</si>
  <si>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</si>
  <si>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</si>
  <si>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</si>
  <si>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</si>
  <si>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</si>
  <si>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</si>
  <si>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</si>
  <si>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</si>
  <si>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</si>
  <si>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</si>
  <si>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</si>
  <si>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</si>
  <si>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</si>
  <si>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</si>
  <si>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</si>
  <si>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</si>
  <si>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</si>
  <si>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</si>
  <si>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</si>
  <si>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</si>
  <si>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</si>
  <si>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</si>
  <si>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</si>
  <si>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</si>
  <si>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</si>
  <si>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</si>
  <si>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</si>
  <si>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</si>
  <si>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</si>
  <si>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</si>
  <si>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</si>
  <si>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</si>
  <si>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</si>
  <si>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</si>
  <si>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</si>
  <si>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</si>
  <si>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</si>
  <si>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</si>
  <si>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</si>
  <si>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</si>
  <si>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</si>
  <si>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</si>
  <si>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</si>
  <si>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</si>
  <si>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</si>
  <si>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</si>
  <si>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</si>
  <si>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</si>
  <si>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</si>
  <si>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</si>
  <si>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</si>
  <si>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</si>
  <si>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</si>
  <si>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</si>
  <si>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</si>
  <si>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</si>
  <si>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</si>
  <si>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</si>
  <si>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</si>
  <si>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</si>
  <si>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</si>
  <si>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</si>
  <si>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</si>
  <si>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</si>
  <si>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</si>
  <si>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</si>
  <si>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</si>
  <si>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</si>
  <si>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</si>
  <si>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</si>
  <si>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</si>
  <si>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</si>
  <si>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</si>
  <si>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</si>
  <si>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</si>
  <si>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</si>
  <si>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</si>
  <si>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</si>
  <si>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</si>
  <si>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</si>
  <si>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</si>
  <si>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</si>
  <si>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</si>
  <si>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</si>
  <si>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</si>
  <si>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</si>
  <si>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</si>
  <si>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</si>
  <si>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</si>
  <si>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</si>
  <si>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</si>
  <si>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</si>
  <si>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</si>
  <si>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</si>
  <si>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</si>
  <si>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</si>
  <si>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</si>
  <si>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</si>
  <si>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</si>
  <si>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</si>
  <si>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</si>
  <si>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</si>
  <si>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</si>
  <si>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</si>
  <si>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</si>
  <si>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</si>
  <si>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</si>
  <si>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</si>
  <si>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</si>
  <si>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</si>
  <si>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</si>
  <si>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</si>
  <si>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</si>
  <si>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</si>
  <si>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</si>
  <si>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</si>
  <si>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</si>
  <si>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</si>
  <si>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</si>
  <si>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</si>
  <si>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</si>
  <si>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</si>
  <si>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</si>
  <si>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</si>
  <si>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</si>
  <si>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</si>
  <si>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</si>
  <si>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</si>
  <si>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</si>
  <si>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</si>
  <si>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</si>
  <si>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</si>
  <si>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</si>
  <si>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</si>
  <si>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</si>
  <si>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</si>
  <si>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</si>
  <si>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</si>
  <si>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</si>
  <si>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</si>
  <si>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</si>
  <si>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</si>
  <si>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</si>
  <si>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</si>
  <si>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</si>
  <si>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</si>
  <si>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</si>
  <si>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</si>
  <si>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</si>
  <si>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</si>
  <si>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</si>
  <si>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</si>
  <si>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</si>
  <si>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</si>
  <si>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</si>
  <si>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</si>
  <si>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</si>
  <si>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</si>
  <si>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</si>
  <si>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</si>
  <si>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</si>
  <si>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</si>
  <si>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</si>
  <si>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</si>
  <si>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</si>
  <si>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</si>
  <si>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</si>
  <si>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</si>
  <si>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</si>
  <si>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</si>
  <si>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</si>
  <si>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</si>
  <si>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</si>
  <si>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</si>
  <si>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</si>
  <si>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</si>
  <si>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</si>
  <si>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</si>
  <si>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</si>
  <si>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</si>
  <si>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</si>
  <si>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</si>
  <si>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</si>
  <si>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</si>
  <si>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</si>
  <si>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</si>
  <si>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</si>
  <si>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</si>
  <si>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</si>
  <si>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</si>
  <si>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</si>
  <si>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</si>
  <si>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</si>
  <si>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</si>
  <si>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</si>
  <si>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</si>
  <si>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</si>
  <si>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</si>
  <si>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</si>
  <si>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</si>
  <si>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</si>
  <si>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</si>
  <si>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</si>
  <si>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</si>
  <si>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</si>
  <si>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</si>
  <si>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</si>
  <si>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</si>
  <si>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</si>
  <si>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</si>
  <si>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</si>
  <si>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</si>
  <si>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</si>
  <si>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</si>
  <si>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</si>
  <si>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</si>
  <si>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</si>
  <si>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</si>
  <si>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</si>
  <si>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</si>
  <si>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</si>
  <si>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</si>
  <si>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</si>
  <si>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</si>
  <si>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</si>
  <si>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</si>
  <si>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</si>
  <si>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</si>
  <si>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</si>
  <si>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</si>
  <si>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</si>
  <si>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</si>
  <si>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</si>
  <si>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</si>
  <si>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</si>
  <si>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</si>
  <si>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</si>
  <si>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</si>
  <si>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</si>
  <si>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</si>
  <si>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</si>
  <si>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</si>
  <si>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</si>
  <si>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</si>
  <si>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</si>
  <si>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</si>
  <si>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</si>
  <si>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</si>
  <si>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</si>
  <si>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</si>
  <si>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</si>
  <si>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</si>
  <si>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</si>
  <si>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</si>
  <si>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</si>
  <si>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</si>
  <si>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</si>
  <si>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</si>
  <si>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</si>
  <si>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</si>
  <si>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</si>
  <si>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</si>
  <si>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</si>
  <si>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</si>
  <si>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</si>
  <si>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</si>
  <si>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</si>
  <si>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</si>
  <si>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</si>
  <si>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</si>
  <si>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</si>
  <si>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</si>
  <si>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</si>
  <si>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</si>
  <si>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</si>
  <si>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</si>
  <si>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</si>
  <si>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</si>
  <si>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</si>
  <si>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</si>
  <si>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</si>
  <si>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</si>
  <si>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</si>
  <si>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</si>
  <si>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</si>
  <si>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</si>
  <si>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</si>
  <si>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</si>
  <si>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</si>
  <si>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</si>
  <si>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</si>
  <si>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</si>
  <si>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</si>
  <si>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</si>
  <si>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</si>
  <si>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</si>
  <si>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</si>
  <si>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</si>
  <si>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</si>
  <si>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</si>
  <si>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</si>
  <si>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</si>
  <si>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</si>
  <si>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</si>
  <si>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</si>
  <si>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</si>
  <si>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</si>
  <si>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</si>
  <si>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</si>
  <si>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</si>
  <si>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</si>
  <si>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</si>
  <si>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</si>
  <si>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</si>
  <si>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</si>
  <si>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</si>
  <si>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</si>
  <si>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</si>
  <si>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</si>
  <si>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</si>
  <si>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</si>
  <si>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</si>
  <si>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</si>
  <si>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</si>
  <si>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</si>
  <si>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</si>
  <si>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</si>
  <si>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</si>
  <si>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</si>
  <si>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</si>
  <si>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</si>
  <si>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</si>
  <si>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</si>
  <si>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</si>
  <si>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</si>
  <si>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</si>
  <si>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</si>
  <si>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</si>
  <si>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</si>
  <si>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</si>
  <si>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</si>
  <si>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</si>
  <si>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</si>
  <si>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</si>
  <si>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</si>
  <si>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</si>
  <si>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</si>
  <si>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</si>
  <si>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</si>
  <si>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</si>
  <si>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</si>
  <si>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</si>
  <si>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</si>
  <si>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</si>
  <si>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</si>
  <si>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</si>
  <si>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</si>
  <si>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</si>
  <si>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</si>
  <si>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</si>
  <si>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</si>
  <si>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</si>
  <si>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</si>
  <si>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</si>
  <si>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</si>
  <si>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</si>
  <si>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</si>
  <si>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</si>
  <si>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</si>
  <si>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</si>
  <si>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</si>
  <si>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</si>
  <si>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</si>
  <si>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</si>
  <si>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</si>
  <si>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</si>
  <si>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</si>
  <si>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</si>
  <si>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</si>
  <si>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</si>
  <si>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</si>
  <si>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</si>
  <si>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</si>
  <si>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</si>
  <si>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</si>
  <si>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</si>
  <si>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</si>
  <si>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</si>
  <si>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</si>
  <si>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</si>
  <si>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</si>
  <si>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</si>
  <si>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</si>
  <si>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</si>
  <si>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</si>
  <si>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</si>
  <si>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</si>
  <si>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</si>
  <si>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</si>
  <si>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</si>
  <si>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</si>
  <si>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</si>
  <si>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</si>
  <si>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</si>
  <si>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</si>
  <si>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</si>
  <si>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</si>
  <si>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</si>
  <si>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</si>
  <si>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</si>
  <si>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</si>
  <si>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</si>
  <si>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</si>
  <si>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</si>
  <si>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</si>
  <si>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</si>
  <si>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</si>
  <si>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</si>
  <si>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</si>
  <si>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</si>
  <si>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</si>
  <si>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</si>
  <si>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</si>
  <si>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</si>
  <si>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</si>
  <si>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</si>
  <si>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</si>
  <si>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</si>
  <si>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</si>
  <si>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</si>
  <si>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</si>
  <si>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</si>
  <si>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</si>
  <si>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</si>
  <si>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</si>
  <si>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</si>
  <si>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</si>
  <si>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</si>
  <si>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</si>
  <si>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</si>
  <si>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</si>
  <si>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</si>
  <si>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</si>
  <si>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</si>
  <si>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</si>
  <si>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</si>
  <si>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</si>
  <si>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</si>
  <si>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</si>
  <si>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</si>
  <si>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</si>
  <si>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</si>
  <si>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</si>
  <si>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</si>
  <si>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</si>
  <si>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</si>
  <si>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</si>
  <si>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</si>
  <si>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</si>
  <si>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</si>
  <si>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</si>
  <si>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</si>
  <si>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</si>
  <si>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</si>
  <si>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</si>
  <si>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</si>
  <si>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</si>
  <si>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</si>
  <si>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</si>
  <si>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</si>
  <si>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</si>
  <si>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</si>
  <si>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</si>
  <si>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</si>
  <si>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</si>
  <si>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</si>
  <si>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</si>
  <si>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</si>
  <si>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</si>
  <si>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</si>
  <si>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</si>
  <si>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</si>
  <si>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</si>
  <si>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</si>
  <si>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</si>
  <si>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</si>
  <si>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</si>
  <si>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</si>
  <si>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</si>
  <si>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</si>
  <si>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</si>
  <si>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</si>
  <si>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</si>
  <si>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</si>
  <si>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</si>
  <si>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</si>
  <si>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</si>
  <si>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</si>
  <si>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</si>
  <si>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</si>
  <si>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</si>
  <si>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</si>
  <si>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</si>
  <si>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</si>
  <si>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</si>
  <si>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</si>
  <si>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</si>
  <si>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</si>
  <si>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</si>
  <si>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</si>
  <si>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</si>
  <si>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</si>
  <si>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</si>
  <si>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</si>
  <si>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</si>
  <si>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</si>
  <si>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</si>
  <si>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</si>
  <si>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</si>
  <si>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</si>
  <si>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</si>
  <si>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</si>
  <si>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</si>
  <si>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</si>
  <si>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</si>
  <si>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</si>
  <si>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</si>
  <si>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</si>
  <si>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</si>
  <si>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</si>
  <si>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</si>
  <si>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</si>
  <si>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</si>
  <si>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</si>
  <si>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</si>
  <si>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</si>
  <si>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</si>
  <si>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</si>
  <si>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</si>
  <si>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</si>
  <si>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</si>
  <si>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</si>
  <si>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</si>
  <si>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</si>
  <si>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</si>
  <si>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</si>
  <si>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</si>
  <si>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</si>
  <si>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</si>
  <si>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</si>
  <si>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</si>
  <si>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</si>
  <si>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</si>
  <si>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</si>
  <si>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</si>
  <si>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</si>
  <si>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</si>
  <si>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</si>
  <si>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</si>
  <si>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</si>
  <si>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</si>
  <si>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</si>
  <si>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</si>
  <si>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</si>
  <si>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</si>
  <si>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</si>
  <si>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</si>
  <si>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</si>
  <si>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</si>
  <si>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</si>
  <si>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</si>
  <si>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</si>
  <si>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</si>
  <si>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</si>
  <si>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</si>
  <si>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</si>
  <si>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</si>
  <si>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</si>
  <si>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</si>
  <si>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</si>
  <si>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</si>
  <si>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</si>
  <si>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</si>
  <si>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</si>
  <si>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</si>
  <si>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</si>
  <si>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</si>
  <si>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</si>
  <si>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</si>
  <si>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</si>
  <si>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</si>
  <si>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</si>
  <si>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</si>
  <si>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</si>
  <si>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</si>
  <si>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</si>
  <si>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</si>
  <si>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</si>
  <si>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</si>
  <si>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</si>
  <si>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</si>
  <si>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</si>
  <si>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</si>
  <si>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</si>
  <si>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</si>
  <si>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</si>
  <si>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</si>
  <si>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</si>
  <si>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</si>
  <si>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</si>
  <si>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</si>
  <si>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</si>
  <si>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</si>
  <si>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</si>
  <si>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</si>
  <si>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</si>
  <si>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</si>
  <si>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</si>
  <si>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</si>
  <si>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</si>
  <si>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</si>
  <si>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</si>
  <si>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</si>
  <si>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</si>
  <si>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</si>
  <si>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</si>
  <si>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</si>
  <si>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</si>
  <si>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</si>
  <si>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</si>
  <si>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</si>
  <si>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</si>
  <si>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</si>
  <si>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</si>
  <si>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</si>
  <si>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</si>
  <si>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</si>
  <si>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</si>
  <si>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</si>
  <si>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</si>
  <si>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</si>
  <si>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</si>
  <si>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</si>
  <si>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</si>
  <si>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</si>
  <si>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</si>
  <si>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</si>
  <si>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</si>
  <si>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</si>
  <si>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</si>
  <si>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</si>
  <si>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</si>
  <si>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</si>
  <si>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</si>
  <si>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</si>
  <si>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</si>
  <si>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</si>
  <si>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</si>
  <si>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</si>
  <si>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</si>
  <si>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</si>
  <si>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</si>
  <si>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</si>
  <si>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</si>
  <si>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</si>
  <si>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</si>
  <si>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</si>
  <si>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</si>
  <si>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</si>
  <si>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</si>
  <si>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</si>
  <si>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</si>
  <si>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</si>
  <si>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</si>
  <si>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</si>
  <si>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</si>
  <si>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</si>
  <si>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</si>
  <si>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</si>
  <si>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</si>
  <si>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</si>
  <si>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</si>
  <si>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</si>
  <si>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</si>
  <si>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</si>
  <si>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</si>
  <si>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</si>
  <si>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</si>
  <si>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</si>
  <si>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</si>
  <si>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</si>
  <si>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</si>
  <si>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</si>
  <si>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</si>
  <si>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</si>
  <si>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</si>
  <si>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</si>
  <si>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</si>
  <si>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</si>
  <si>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</si>
  <si>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</si>
  <si>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</si>
  <si>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</si>
  <si>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</si>
  <si>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</si>
  <si>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</si>
  <si>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</si>
  <si>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</si>
  <si>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</si>
  <si>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</si>
  <si>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</si>
  <si>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</si>
  <si>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</si>
  <si>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</si>
  <si>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</si>
  <si>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</si>
  <si>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</si>
  <si>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</si>
  <si>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</si>
  <si>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</si>
  <si>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</si>
  <si>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</si>
  <si>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</si>
  <si>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</si>
  <si>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</si>
  <si>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</si>
  <si>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</si>
  <si>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</si>
  <si>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</si>
  <si>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</si>
  <si>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</si>
  <si>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</si>
  <si>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</si>
  <si>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</si>
  <si>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</si>
  <si>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</si>
  <si>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</si>
  <si>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</si>
  <si>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</si>
  <si>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</si>
  <si>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</si>
  <si>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</si>
  <si>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</si>
  <si>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</si>
  <si>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unsuccessful</t>
  </si>
  <si>
    <t>mean</t>
  </si>
  <si>
    <t>median</t>
  </si>
  <si>
    <t>minimum</t>
  </si>
  <si>
    <t>maximum</t>
  </si>
  <si>
    <t>variance</t>
  </si>
  <si>
    <t>st. dev.</t>
  </si>
  <si>
    <t>2016</t>
  </si>
  <si>
    <t>Year</t>
  </si>
  <si>
    <t>Project Count (in sample)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</si>
</sst>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0" fontId="0" fillId="0" borderId="0" xfId="0" applyNumberFormat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20"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Start Dates!PivotTable1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Quarter/Month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Start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Dates'!$B$6:$B$22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6A3-846D-277B72878F88}"/>
            </c:ext>
          </c:extLst>
        </c:ser>
        <c:ser>
          <c:idx val="1"/>
          <c:order val="1"/>
          <c:tx>
            <c:strRef>
              <c:f>'Project Start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Dates'!$C$6:$C$22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F-46A3-846D-277B72878F88}"/>
            </c:ext>
          </c:extLst>
        </c:ser>
        <c:ser>
          <c:idx val="2"/>
          <c:order val="2"/>
          <c:tx>
            <c:strRef>
              <c:f>'Project Start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Dates'!$D$6:$D$22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F-46A3-846D-277B72878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25528"/>
        <c:axId val="661731104"/>
      </c:lineChart>
      <c:catAx>
        <c:axId val="661725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Quarter/Month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31104"/>
        <c:crosses val="autoZero"/>
        <c:auto val="1"/>
        <c:lblAlgn val="ctr"/>
        <c:lblOffset val="100"/>
        <c:noMultiLvlLbl val="0"/>
      </c:catAx>
      <c:valAx>
        <c:axId val="6617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</a:t>
            </a:r>
            <a:r>
              <a:rPr lang="en-US" baseline="0"/>
              <a:t> vs. Goal Dollar Ranges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Statistics'!$F$1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3-4AA6-A103-634FC765CC9C}"/>
            </c:ext>
          </c:extLst>
        </c:ser>
        <c:ser>
          <c:idx val="1"/>
          <c:order val="1"/>
          <c:tx>
            <c:strRef>
              <c:f>'Success Statistics'!$G$1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3-4AA6-A103-634FC765CC9C}"/>
            </c:ext>
          </c:extLst>
        </c:ser>
        <c:ser>
          <c:idx val="2"/>
          <c:order val="2"/>
          <c:tx>
            <c:strRef>
              <c:f>'Success Statistics'!$H$1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3-4AA6-A103-634FC765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80832"/>
        <c:axId val="707590016"/>
      </c:lineChart>
      <c:catAx>
        <c:axId val="70758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Dollar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90016"/>
        <c:crosses val="autoZero"/>
        <c:auto val="1"/>
        <c:lblAlgn val="ctr"/>
        <c:lblOffset val="100"/>
        <c:noMultiLvlLbl val="0"/>
      </c:catAx>
      <c:valAx>
        <c:axId val="7075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Status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(in sample) vs.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'Project Count Growth'!$B$1</c:f>
              <c:strCache>
                <c:ptCount val="1"/>
                <c:pt idx="0">
                  <c:v>Project Count (in sample)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6578465910555009E-2"/>
                  <c:y val="0.22719048595850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'Project Count Growth'!$A$2:$A$8</c:f>
              <c:numCache>
                <c:formatCode>General</c:formatCod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numCache>
            </c:numRef>
          </c:cat>
          <c:val>
            <c:numRef>
              <c:f>'Project Count Growth'!$B$2:$B$8</c:f>
              <c:numCache>
                <c:formatCode>General</c:formatCode>
                <c:ptCount val="7"/>
                <c:pt idx="0">
                  <c:v>65</c:v>
                </c:pt>
                <c:pt idx="1">
                  <c:v>171</c:v>
                </c:pt>
                <c:pt idx="2">
                  <c:v>282</c:v>
                </c:pt>
                <c:pt idx="3">
                  <c:v>274</c:v>
                </c:pt>
                <c:pt idx="4">
                  <c:v>976</c:v>
                </c:pt>
                <c:pt idx="5">
                  <c:v>1225</c:v>
                </c:pt>
                <c:pt idx="6">
                  <c:v>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2-49DB-A30A-111B86F02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310216"/>
        <c:axId val="757311528"/>
      </c:lineChart>
      <c:catAx>
        <c:axId val="757310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11528"/>
        <c:crosses val="autoZero"/>
        <c:auto val="1"/>
        <c:lblAlgn val="ctr"/>
        <c:lblOffset val="100"/>
        <c:noMultiLvlLbl val="0"/>
      </c:catAx>
      <c:valAx>
        <c:axId val="75731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 (in sample data)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10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157161</xdr:rowOff>
    </xdr:from>
    <xdr:to>
      <xdr:col>17</xdr:col>
      <xdr:colOff>476250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0A91-AEA6-4030-9D3D-FCE0EE648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13</xdr:row>
      <xdr:rowOff>157161</xdr:rowOff>
    </xdr:from>
    <xdr:to>
      <xdr:col>8</xdr:col>
      <xdr:colOff>38100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3699-D575-4A06-8FA8-A95334427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587374</xdr:colOff>
      <xdr:row>0</xdr:row>
      <xdr:rowOff>207962</xdr:rowOff>
    </xdr:from>
    <xdr:to>
      <xdr:col>15</xdr:col>
      <xdr:colOff>63499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EB32E-6B6E-484C-98BA-0588C9D14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452148379627" createdVersion="6" refreshedVersion="6" minRefreshableVersion="3" recordCount="4114" xr:uid="{C36FC2A4-190D-4041-B1DE-FB3F33C7E3E7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B25B5-15E2-40F1-BA25-A655F0AB6B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view="pageBreakPreview" topLeftCell="C1" zoomScaleSheetLayoutView="100" workbookViewId="0">
      <selection activeCell="E13" sqref="E13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5693-4591-481C-B8C6-BF811488E776}">
  <dimension ref="A1:E22"/>
  <sheetViews>
    <sheetView view="pageBreakPreview" zoomScaleSheetLayoutView="100"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8323</v>
      </c>
    </row>
    <row r="2" spans="1:5" x14ac:dyDescent="0.25">
      <c r="A2" s="5" t="s">
        <v>8383</v>
      </c>
      <c r="B2" t="s">
        <v>8412</v>
      </c>
    </row>
    <row r="4" spans="1:5" x14ac:dyDescent="0.25">
      <c r="A4" s="5" t="s">
        <v>8322</v>
      </c>
      <c r="B4" s="5" t="s">
        <v>8321</v>
      </c>
    </row>
    <row r="5" spans="1:5" x14ac:dyDescent="0.25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6" t="s">
        <v>8376</v>
      </c>
      <c r="B6" s="7">
        <v>27</v>
      </c>
      <c r="C6" s="7">
        <v>116</v>
      </c>
      <c r="D6" s="7">
        <v>137</v>
      </c>
      <c r="E6" s="7">
        <v>280</v>
      </c>
    </row>
    <row r="7" spans="1:5" x14ac:dyDescent="0.25">
      <c r="A7" s="9" t="s">
        <v>8377</v>
      </c>
      <c r="B7" s="7">
        <v>12</v>
      </c>
      <c r="C7" s="7">
        <v>42</v>
      </c>
      <c r="D7" s="7">
        <v>33</v>
      </c>
      <c r="E7" s="7">
        <v>87</v>
      </c>
    </row>
    <row r="8" spans="1:5" x14ac:dyDescent="0.25">
      <c r="A8" s="9" t="s">
        <v>8378</v>
      </c>
      <c r="B8" s="7">
        <v>8</v>
      </c>
      <c r="C8" s="7">
        <v>34</v>
      </c>
      <c r="D8" s="7">
        <v>49</v>
      </c>
      <c r="E8" s="7">
        <v>91</v>
      </c>
    </row>
    <row r="9" spans="1:5" x14ac:dyDescent="0.25">
      <c r="A9" s="9" t="s">
        <v>8379</v>
      </c>
      <c r="B9" s="7">
        <v>7</v>
      </c>
      <c r="C9" s="7">
        <v>40</v>
      </c>
      <c r="D9" s="7">
        <v>55</v>
      </c>
      <c r="E9" s="7">
        <v>102</v>
      </c>
    </row>
    <row r="10" spans="1:5" x14ac:dyDescent="0.25">
      <c r="A10" s="6" t="s">
        <v>8367</v>
      </c>
      <c r="B10" s="7">
        <v>28</v>
      </c>
      <c r="C10" s="7">
        <v>100</v>
      </c>
      <c r="D10" s="7">
        <v>137</v>
      </c>
      <c r="E10" s="7">
        <v>265</v>
      </c>
    </row>
    <row r="11" spans="1:5" x14ac:dyDescent="0.25">
      <c r="A11" s="9" t="s">
        <v>8380</v>
      </c>
      <c r="B11" s="7">
        <v>8</v>
      </c>
      <c r="C11" s="7">
        <v>24</v>
      </c>
      <c r="D11" s="7">
        <v>45</v>
      </c>
      <c r="E11" s="7">
        <v>77</v>
      </c>
    </row>
    <row r="12" spans="1:5" x14ac:dyDescent="0.25">
      <c r="A12" s="9" t="s">
        <v>8368</v>
      </c>
      <c r="B12" s="7">
        <v>8</v>
      </c>
      <c r="C12" s="7">
        <v>33</v>
      </c>
      <c r="D12" s="7">
        <v>58</v>
      </c>
      <c r="E12" s="7">
        <v>99</v>
      </c>
    </row>
    <row r="13" spans="1:5" x14ac:dyDescent="0.25">
      <c r="A13" s="9" t="s">
        <v>8381</v>
      </c>
      <c r="B13" s="7">
        <v>12</v>
      </c>
      <c r="C13" s="7">
        <v>43</v>
      </c>
      <c r="D13" s="7">
        <v>34</v>
      </c>
      <c r="E13" s="7">
        <v>89</v>
      </c>
    </row>
    <row r="14" spans="1:5" x14ac:dyDescent="0.25">
      <c r="A14" s="6" t="s">
        <v>8369</v>
      </c>
      <c r="B14" s="7">
        <v>24</v>
      </c>
      <c r="C14" s="7">
        <v>74</v>
      </c>
      <c r="D14" s="7">
        <v>102</v>
      </c>
      <c r="E14" s="7">
        <v>200</v>
      </c>
    </row>
    <row r="15" spans="1:5" x14ac:dyDescent="0.25">
      <c r="A15" s="9" t="s">
        <v>8370</v>
      </c>
      <c r="B15" s="7">
        <v>7</v>
      </c>
      <c r="C15" s="7">
        <v>18</v>
      </c>
      <c r="D15" s="7">
        <v>44</v>
      </c>
      <c r="E15" s="7">
        <v>69</v>
      </c>
    </row>
    <row r="16" spans="1:5" x14ac:dyDescent="0.25">
      <c r="A16" s="9" t="s">
        <v>8371</v>
      </c>
      <c r="B16" s="7">
        <v>11</v>
      </c>
      <c r="C16" s="7">
        <v>27</v>
      </c>
      <c r="D16" s="7">
        <v>29</v>
      </c>
      <c r="E16" s="7">
        <v>67</v>
      </c>
    </row>
    <row r="17" spans="1:5" x14ac:dyDescent="0.25">
      <c r="A17" s="9" t="s">
        <v>8372</v>
      </c>
      <c r="B17" s="7">
        <v>6</v>
      </c>
      <c r="C17" s="7">
        <v>29</v>
      </c>
      <c r="D17" s="7">
        <v>29</v>
      </c>
      <c r="E17" s="7">
        <v>64</v>
      </c>
    </row>
    <row r="18" spans="1:5" x14ac:dyDescent="0.25">
      <c r="A18" s="6" t="s">
        <v>8373</v>
      </c>
      <c r="B18" s="7">
        <v>20</v>
      </c>
      <c r="C18" s="7">
        <v>86</v>
      </c>
      <c r="D18" s="7">
        <v>99</v>
      </c>
      <c r="E18" s="7">
        <v>205</v>
      </c>
    </row>
    <row r="19" spans="1:5" x14ac:dyDescent="0.25">
      <c r="A19" s="9" t="s">
        <v>8374</v>
      </c>
      <c r="B19" s="7">
        <v>2</v>
      </c>
      <c r="C19" s="7">
        <v>28</v>
      </c>
      <c r="D19" s="7">
        <v>27</v>
      </c>
      <c r="E19" s="7">
        <v>57</v>
      </c>
    </row>
    <row r="20" spans="1:5" x14ac:dyDescent="0.25">
      <c r="A20" s="9" t="s">
        <v>8375</v>
      </c>
      <c r="B20" s="7">
        <v>10</v>
      </c>
      <c r="C20" s="7">
        <v>28</v>
      </c>
      <c r="D20" s="7">
        <v>48</v>
      </c>
      <c r="E20" s="7">
        <v>86</v>
      </c>
    </row>
    <row r="21" spans="1:5" x14ac:dyDescent="0.25">
      <c r="A21" s="9" t="s">
        <v>8382</v>
      </c>
      <c r="B21" s="7">
        <v>8</v>
      </c>
      <c r="C21" s="7">
        <v>30</v>
      </c>
      <c r="D21" s="7">
        <v>24</v>
      </c>
      <c r="E21" s="7">
        <v>62</v>
      </c>
    </row>
    <row r="22" spans="1:5" x14ac:dyDescent="0.25">
      <c r="A22" s="6" t="s">
        <v>8320</v>
      </c>
      <c r="B22" s="7">
        <v>99</v>
      </c>
      <c r="C22" s="7">
        <v>376</v>
      </c>
      <c r="D22" s="7">
        <v>475</v>
      </c>
      <c r="E22" s="7">
        <v>950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BD23-F1BD-4EEC-889E-F382EA97773E}">
  <dimension ref="A1:H13"/>
  <sheetViews>
    <sheetView zoomScaleNormal="100" zoomScaleSheetLayoutView="100" workbookViewId="0">
      <selection activeCell="I10" sqref="I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8384</v>
      </c>
      <c r="B1" s="10" t="s">
        <v>8385</v>
      </c>
      <c r="C1" s="10" t="s">
        <v>8386</v>
      </c>
      <c r="D1" s="10" t="s">
        <v>8387</v>
      </c>
      <c r="E1" s="10" t="s">
        <v>8388</v>
      </c>
      <c r="F1" s="10" t="s">
        <v>8389</v>
      </c>
      <c r="G1" s="10" t="s">
        <v>8390</v>
      </c>
      <c r="H1" s="10" t="s">
        <v>8391</v>
      </c>
    </row>
    <row r="2" spans="1:8" x14ac:dyDescent="0.25">
      <c r="A2" t="s">
        <v>8392</v>
      </c>
      <c r="B2">
        <f>COUNTIFS(projects_state,"successful",project_goals,"&lt;1000")</f>
        <v>322</v>
      </c>
      <c r="C2">
        <f>COUNTIFS(projects_state,"failed",project_goals,"&lt;1000")</f>
        <v>113</v>
      </c>
      <c r="D2">
        <f>COUNTIFS(projects_state,"canceled",project_goals,"&lt;1000")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8393</v>
      </c>
      <c r="B3">
        <f>COUNTIFS(projects_state,"successful",project_goals,"&gt;=1000",project_goals,"&lt;=4999")</f>
        <v>932</v>
      </c>
      <c r="C3">
        <f>COUNTIFS(projects_state,"failed",project_goals,"&gt;=1000",project_goals,"&lt;=4999")</f>
        <v>420</v>
      </c>
      <c r="D3">
        <f>COUNTIFS(projects_state,"canceled",project_goals,"&gt;=1000",project_goals,"&lt;=4999")</f>
        <v>60</v>
      </c>
      <c r="E3">
        <f t="shared" ref="E3:E13" si="0">SUM(B3:D3)</f>
        <v>1412</v>
      </c>
      <c r="F3" s="11">
        <f t="shared" ref="F3:F6" si="1">B3/$E3</f>
        <v>0.66005665722379603</v>
      </c>
      <c r="G3" s="11">
        <f t="shared" ref="G3:G6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8394</v>
      </c>
      <c r="B4">
        <f>COUNTIFS(projects_state,"successful",project_goals,"&gt;=5000",project_goals,"&lt;=9999")</f>
        <v>381</v>
      </c>
      <c r="C4">
        <f>COUNTIFS(projects_state,"failed",project_goals,"&gt;=5000",project_goals,"&lt;=9999")</f>
        <v>283</v>
      </c>
      <c r="D4">
        <f>COUNTIFS(projects_state,"canceled",project_goals,"&gt;=5000",project_goals,"&lt;=9999")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8395</v>
      </c>
      <c r="B5">
        <f>COUNTIFS(projects_state,"successful",project_goals,"&gt;=10000",project_goals,"&lt;=14999")</f>
        <v>168</v>
      </c>
      <c r="C5">
        <f>COUNTIFS(projects_state,"failed",project_goals,"&gt;=10000",project_goals,"&lt;=14999")</f>
        <v>144</v>
      </c>
      <c r="D5">
        <f>COUNTIFS(projects_state,"canceled",project_goals,"&gt;=10000",project_goals,"&lt;=14999")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8396</v>
      </c>
      <c r="B6">
        <f>COUNTIFS(projects_state,"successful",project_goals,"&gt;=15000",project_goals,"&lt;=19999")</f>
        <v>94</v>
      </c>
      <c r="C6">
        <f>COUNTIFS(projects_state,"failed",project_goals,"&gt;=15000",project_goals,"&lt;=19999")</f>
        <v>90</v>
      </c>
      <c r="D6">
        <f>COUNTIFS(projects_state,"canceled",project_goals,"&gt;=15000",project_goals,"&lt;=19999")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8397</v>
      </c>
      <c r="B7">
        <f>COUNTIFS(projects_state,"successful",project_goals,"&gt;=20000",project_goals,"&lt;=24999")</f>
        <v>62</v>
      </c>
      <c r="C7">
        <f>COUNTIFS(projects_state,"failed",project_goals,"&gt;=20000",project_goals,"&lt;=24999")</f>
        <v>72</v>
      </c>
      <c r="D7">
        <f>COUNTIFS(projects_state,"canceled",project_goals,"&gt;=20000",project_goals,"&lt;=24999")</f>
        <v>14</v>
      </c>
      <c r="E7">
        <f t="shared" si="0"/>
        <v>148</v>
      </c>
      <c r="F7" s="11">
        <f t="shared" ref="F7:F13" si="4">B7/$E7</f>
        <v>0.41891891891891891</v>
      </c>
      <c r="G7" s="11">
        <f t="shared" ref="G7:G13" si="5">C7/$E7</f>
        <v>0.48648648648648651</v>
      </c>
      <c r="H7" s="11">
        <f t="shared" si="3"/>
        <v>9.45945945945946E-2</v>
      </c>
    </row>
    <row r="8" spans="1:8" x14ac:dyDescent="0.25">
      <c r="A8" t="s">
        <v>8398</v>
      </c>
      <c r="B8">
        <f>COUNTIFS(projects_state,"successful",project_goals,"&gt;=25000",project_goals,"&lt;=29999")</f>
        <v>55</v>
      </c>
      <c r="C8">
        <f>COUNTIFS(projects_state,"failed",project_goals,"&gt;=25000",project_goals,"&lt;=29999")</f>
        <v>64</v>
      </c>
      <c r="D8">
        <f>COUNTIFS(projects_state,"canceled",project_goals,"&gt;=25000",project_goals,"&lt;=29999")</f>
        <v>18</v>
      </c>
      <c r="E8">
        <f t="shared" si="0"/>
        <v>137</v>
      </c>
      <c r="F8" s="11">
        <f t="shared" si="4"/>
        <v>0.40145985401459855</v>
      </c>
      <c r="G8" s="11">
        <f t="shared" si="5"/>
        <v>0.46715328467153283</v>
      </c>
      <c r="H8" s="11">
        <f t="shared" si="3"/>
        <v>0.13138686131386862</v>
      </c>
    </row>
    <row r="9" spans="1:8" x14ac:dyDescent="0.25">
      <c r="A9" t="s">
        <v>8399</v>
      </c>
      <c r="B9">
        <f>COUNTIFS(projects_state,"successful",project_goals,"&gt;=30000",project_goals,"&lt;=34999")</f>
        <v>32</v>
      </c>
      <c r="C9">
        <f>COUNTIFS(projects_state,"failed",project_goals,"&gt;=30000",project_goals,"&lt;=34999")</f>
        <v>37</v>
      </c>
      <c r="D9">
        <f>COUNTIFS(projects_state,"canceled",project_goals,"&gt;=30000",project_goals,"&lt;=34999")</f>
        <v>13</v>
      </c>
      <c r="E9">
        <f t="shared" si="0"/>
        <v>82</v>
      </c>
      <c r="F9" s="11">
        <f t="shared" si="4"/>
        <v>0.3902439024390244</v>
      </c>
      <c r="G9" s="11">
        <f t="shared" si="5"/>
        <v>0.45121951219512196</v>
      </c>
      <c r="H9" s="11">
        <f t="shared" si="3"/>
        <v>0.15853658536585366</v>
      </c>
    </row>
    <row r="10" spans="1:8" x14ac:dyDescent="0.25">
      <c r="A10" t="s">
        <v>8400</v>
      </c>
      <c r="B10">
        <f>COUNTIFS(projects_state,"successful",project_goals,"&gt;=35000",project_goals,"&lt;=39999")</f>
        <v>26</v>
      </c>
      <c r="C10">
        <f>COUNTIFS(projects_state,"failed",project_goals,"&gt;=35000",project_goals,"&lt;=39999")</f>
        <v>22</v>
      </c>
      <c r="D10">
        <f>COUNTIFS(projects_state,"canceled",project_goals,"&gt;=35000",project_goals,"&lt;=39999")</f>
        <v>7</v>
      </c>
      <c r="E10">
        <f t="shared" si="0"/>
        <v>55</v>
      </c>
      <c r="F10" s="11">
        <f t="shared" si="4"/>
        <v>0.47272727272727272</v>
      </c>
      <c r="G10" s="11">
        <f t="shared" si="5"/>
        <v>0.4</v>
      </c>
      <c r="H10" s="11">
        <f t="shared" si="3"/>
        <v>0.12727272727272726</v>
      </c>
    </row>
    <row r="11" spans="1:8" x14ac:dyDescent="0.25">
      <c r="A11" t="s">
        <v>8401</v>
      </c>
      <c r="B11">
        <f>COUNTIFS(projects_state,"successful",project_goals,"&gt;=40000",project_goals,"&lt;=44999")</f>
        <v>21</v>
      </c>
      <c r="C11">
        <f>COUNTIFS(projects_state,"failed",project_goals,"&gt;=40000",project_goals,"&lt;=44999")</f>
        <v>16</v>
      </c>
      <c r="D11">
        <f>COUNTIFS(projects_state,"canceled",project_goals,"&gt;=40000",project_goals,"&lt;=44999")</f>
        <v>6</v>
      </c>
      <c r="E11">
        <f t="shared" si="0"/>
        <v>43</v>
      </c>
      <c r="F11" s="11">
        <f t="shared" si="4"/>
        <v>0.48837209302325579</v>
      </c>
      <c r="G11" s="11">
        <f t="shared" si="5"/>
        <v>0.37209302325581395</v>
      </c>
      <c r="H11" s="11">
        <f t="shared" si="3"/>
        <v>0.13953488372093023</v>
      </c>
    </row>
    <row r="12" spans="1:8" x14ac:dyDescent="0.25">
      <c r="A12" t="s">
        <v>8402</v>
      </c>
      <c r="B12">
        <f>COUNTIFS(projects_state,"successful",project_goals,"&gt;=45000",project_goals,"&lt;=49999")</f>
        <v>6</v>
      </c>
      <c r="C12">
        <f>COUNTIFS(projects_state,"failed",project_goals,"&gt;=45000",project_goals,"&lt;=49999")</f>
        <v>11</v>
      </c>
      <c r="D12">
        <f>COUNTIFS(projects_state,"canceled",project_goals,"&gt;=45000",project_goals,"&lt;=49999")</f>
        <v>4</v>
      </c>
      <c r="E12">
        <f t="shared" si="0"/>
        <v>21</v>
      </c>
      <c r="F12" s="11">
        <f t="shared" si="4"/>
        <v>0.2857142857142857</v>
      </c>
      <c r="G12" s="11">
        <f t="shared" si="5"/>
        <v>0.52380952380952384</v>
      </c>
      <c r="H12" s="11">
        <f t="shared" si="3"/>
        <v>0.19047619047619047</v>
      </c>
    </row>
    <row r="13" spans="1:8" x14ac:dyDescent="0.25">
      <c r="A13" t="s">
        <v>8403</v>
      </c>
      <c r="B13">
        <f>COUNTIFS(projects_state,"successful",project_goals,"&gt;=50000")</f>
        <v>86</v>
      </c>
      <c r="C13">
        <f>COUNTIFS(projects_state,"failed",project_goals,"&gt;=50000")</f>
        <v>258</v>
      </c>
      <c r="D13">
        <f>COUNTIFS(projects_state,"canceled",project_goals,"&gt;=50000")</f>
        <v>100</v>
      </c>
      <c r="E13">
        <f t="shared" si="0"/>
        <v>444</v>
      </c>
      <c r="F13" s="11">
        <f t="shared" si="4"/>
        <v>0.19369369369369369</v>
      </c>
      <c r="G13" s="11">
        <f t="shared" si="5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2251-1A9F-434C-8106-A3B7DE30FA85}">
  <dimension ref="A1:J2186"/>
  <sheetViews>
    <sheetView view="pageBreakPreview" zoomScaleSheetLayoutView="100" workbookViewId="0">
      <selection activeCell="H1" sqref="H1:J7"/>
    </sheetView>
  </sheetViews>
  <sheetFormatPr defaultRowHeight="15" x14ac:dyDescent="0.25"/>
  <cols>
    <col min="1" max="1" width="13" bestFit="1" customWidth="1"/>
    <col min="2" max="2" width="20.140625" bestFit="1" customWidth="1"/>
    <col min="6" max="6" width="13.85546875" bestFit="1" customWidth="1"/>
    <col min="9" max="9" width="10" bestFit="1" customWidth="1"/>
    <col min="10" max="10" width="12.28515625" bestFit="1" customWidth="1"/>
  </cols>
  <sheetData>
    <row r="1" spans="1:10" x14ac:dyDescent="0.25">
      <c r="A1" s="10" t="s">
        <v>8404</v>
      </c>
      <c r="B1" s="10" t="s">
        <v>8262</v>
      </c>
      <c r="E1" s="10" t="s">
        <v>8404</v>
      </c>
      <c r="F1" s="10" t="s">
        <v>8262</v>
      </c>
      <c r="H1" s="10"/>
      <c r="I1" s="10" t="s">
        <v>8219</v>
      </c>
      <c r="J1" s="10" t="s">
        <v>8405</v>
      </c>
    </row>
    <row r="2" spans="1:10" x14ac:dyDescent="0.25">
      <c r="A2" t="s">
        <v>8219</v>
      </c>
      <c r="B2">
        <v>182</v>
      </c>
      <c r="E2" t="s">
        <v>8221</v>
      </c>
      <c r="F2">
        <v>0</v>
      </c>
      <c r="H2" t="s">
        <v>8406</v>
      </c>
      <c r="I2">
        <f>AVERAGE(succ_backers)</f>
        <v>194.42517162471395</v>
      </c>
      <c r="J2">
        <f>AVERAGE(failed_backers)</f>
        <v>19.530148786217698</v>
      </c>
    </row>
    <row r="3" spans="1:10" x14ac:dyDescent="0.25">
      <c r="A3" t="s">
        <v>8219</v>
      </c>
      <c r="B3">
        <v>79</v>
      </c>
      <c r="E3" t="s">
        <v>8221</v>
      </c>
      <c r="F3">
        <v>1</v>
      </c>
      <c r="H3" t="s">
        <v>8407</v>
      </c>
      <c r="I3">
        <f>MEDIAN(succ_backers)</f>
        <v>62</v>
      </c>
      <c r="J3">
        <f>MEDIAN(failed_backers)</f>
        <v>4</v>
      </c>
    </row>
    <row r="4" spans="1:10" x14ac:dyDescent="0.25">
      <c r="A4" t="s">
        <v>8219</v>
      </c>
      <c r="B4">
        <v>35</v>
      </c>
      <c r="E4" t="s">
        <v>8221</v>
      </c>
      <c r="F4">
        <v>10</v>
      </c>
      <c r="H4" t="s">
        <v>8408</v>
      </c>
      <c r="I4">
        <f>MIN(succ_backers)</f>
        <v>1</v>
      </c>
      <c r="J4">
        <f>MIN(failed_backers)</f>
        <v>0</v>
      </c>
    </row>
    <row r="5" spans="1:10" x14ac:dyDescent="0.25">
      <c r="A5" t="s">
        <v>8219</v>
      </c>
      <c r="B5">
        <v>150</v>
      </c>
      <c r="E5" t="s">
        <v>8221</v>
      </c>
      <c r="F5">
        <v>0</v>
      </c>
      <c r="H5" t="s">
        <v>8409</v>
      </c>
      <c r="I5">
        <f>MAX(succ_backers)</f>
        <v>26457</v>
      </c>
      <c r="J5">
        <f>MAX(failed_backers)</f>
        <v>1293</v>
      </c>
    </row>
    <row r="6" spans="1:10" x14ac:dyDescent="0.25">
      <c r="A6" t="s">
        <v>8219</v>
      </c>
      <c r="B6">
        <v>284</v>
      </c>
      <c r="E6" t="s">
        <v>8221</v>
      </c>
      <c r="F6">
        <v>7</v>
      </c>
      <c r="H6" t="s">
        <v>8410</v>
      </c>
      <c r="I6">
        <f>_xlfn.VAR.S(succ_backers)</f>
        <v>713167.37912800396</v>
      </c>
      <c r="J6">
        <f>_xlfn.VAR.S(failed_backers)</f>
        <v>4444.7602580499461</v>
      </c>
    </row>
    <row r="7" spans="1:10" x14ac:dyDescent="0.25">
      <c r="A7" t="s">
        <v>8219</v>
      </c>
      <c r="B7">
        <v>47</v>
      </c>
      <c r="E7" t="s">
        <v>8221</v>
      </c>
      <c r="F7">
        <v>0</v>
      </c>
      <c r="H7" t="s">
        <v>8411</v>
      </c>
      <c r="I7">
        <f>_xlfn.STDEV.S(succ_backers)</f>
        <v>844.49237955591047</v>
      </c>
      <c r="J7">
        <f>_xlfn.STDEV.S(failed_backers)</f>
        <v>66.66903522663236</v>
      </c>
    </row>
    <row r="8" spans="1:10" x14ac:dyDescent="0.25">
      <c r="A8" t="s">
        <v>8219</v>
      </c>
      <c r="B8">
        <v>58</v>
      </c>
      <c r="E8" t="s">
        <v>8221</v>
      </c>
      <c r="F8">
        <v>1</v>
      </c>
    </row>
    <row r="9" spans="1:10" x14ac:dyDescent="0.25">
      <c r="A9" t="s">
        <v>8219</v>
      </c>
      <c r="B9">
        <v>57</v>
      </c>
      <c r="E9" t="s">
        <v>8221</v>
      </c>
      <c r="F9">
        <v>2</v>
      </c>
    </row>
    <row r="10" spans="1:10" x14ac:dyDescent="0.25">
      <c r="A10" t="s">
        <v>8219</v>
      </c>
      <c r="B10">
        <v>12</v>
      </c>
      <c r="E10" t="s">
        <v>8221</v>
      </c>
      <c r="F10">
        <v>3</v>
      </c>
    </row>
    <row r="11" spans="1:10" x14ac:dyDescent="0.25">
      <c r="A11" t="s">
        <v>8219</v>
      </c>
      <c r="B11">
        <v>20</v>
      </c>
      <c r="E11" t="s">
        <v>8221</v>
      </c>
      <c r="F11">
        <v>10</v>
      </c>
    </row>
    <row r="12" spans="1:10" x14ac:dyDescent="0.25">
      <c r="A12" t="s">
        <v>8219</v>
      </c>
      <c r="B12">
        <v>19</v>
      </c>
      <c r="E12" t="s">
        <v>8221</v>
      </c>
      <c r="F12">
        <v>10</v>
      </c>
    </row>
    <row r="13" spans="1:10" x14ac:dyDescent="0.25">
      <c r="A13" t="s">
        <v>8219</v>
      </c>
      <c r="B13">
        <v>75</v>
      </c>
      <c r="E13" t="s">
        <v>8221</v>
      </c>
      <c r="F13">
        <v>1</v>
      </c>
    </row>
    <row r="14" spans="1:10" x14ac:dyDescent="0.25">
      <c r="A14" t="s">
        <v>8219</v>
      </c>
      <c r="B14">
        <v>827</v>
      </c>
      <c r="E14" t="s">
        <v>8221</v>
      </c>
      <c r="F14">
        <v>0</v>
      </c>
    </row>
    <row r="15" spans="1:10" x14ac:dyDescent="0.25">
      <c r="A15" t="s">
        <v>8219</v>
      </c>
      <c r="B15">
        <v>51</v>
      </c>
      <c r="E15" t="s">
        <v>8221</v>
      </c>
      <c r="F15">
        <v>0</v>
      </c>
    </row>
    <row r="16" spans="1:10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</row>
    <row r="1280" spans="1:6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187:A4115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E1279:E4115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2:E1278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D3D12-F4F2-4169-BEE8-6DB114308472}">
  <dimension ref="A1:B8"/>
  <sheetViews>
    <sheetView view="pageBreakPreview" zoomScaleSheetLayoutView="100" workbookViewId="0">
      <selection activeCell="B11" sqref="B11"/>
    </sheetView>
  </sheetViews>
  <sheetFormatPr defaultRowHeight="15" x14ac:dyDescent="0.25"/>
  <cols>
    <col min="2" max="2" width="9.7109375" bestFit="1" customWidth="1"/>
  </cols>
  <sheetData>
    <row r="1" spans="1:2" ht="94.5" thickBot="1" x14ac:dyDescent="0.3">
      <c r="A1" s="12" t="s">
        <v>8413</v>
      </c>
      <c r="B1" s="13" t="s">
        <v>8414</v>
      </c>
    </row>
    <row r="2" spans="1:2" ht="19.5" thickBot="1" x14ac:dyDescent="0.3">
      <c r="A2" s="14">
        <v>2010</v>
      </c>
      <c r="B2" s="15">
        <v>65</v>
      </c>
    </row>
    <row r="3" spans="1:2" ht="19.5" thickBot="1" x14ac:dyDescent="0.3">
      <c r="A3" s="14">
        <v>2011</v>
      </c>
      <c r="B3" s="15">
        <v>171</v>
      </c>
    </row>
    <row r="4" spans="1:2" ht="19.5" thickBot="1" x14ac:dyDescent="0.3">
      <c r="A4" s="14">
        <v>2012</v>
      </c>
      <c r="B4" s="15">
        <v>282</v>
      </c>
    </row>
    <row r="5" spans="1:2" ht="19.5" thickBot="1" x14ac:dyDescent="0.3">
      <c r="A5" s="14">
        <v>2013</v>
      </c>
      <c r="B5" s="15">
        <v>274</v>
      </c>
    </row>
    <row r="6" spans="1:2" ht="19.5" thickBot="1" x14ac:dyDescent="0.3">
      <c r="A6" s="14">
        <v>2014</v>
      </c>
      <c r="B6" s="15">
        <v>976</v>
      </c>
    </row>
    <row r="7" spans="1:2" ht="19.5" thickBot="1" x14ac:dyDescent="0.3">
      <c r="A7" s="14">
        <v>2015</v>
      </c>
      <c r="B7" s="15">
        <v>1225</v>
      </c>
    </row>
    <row r="8" spans="1:2" ht="19.5" thickBot="1" x14ac:dyDescent="0.3">
      <c r="A8" s="14">
        <v>2016</v>
      </c>
      <c r="B8" s="15">
        <v>950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Main Table</vt:lpstr>
      <vt:lpstr>Category Data</vt:lpstr>
      <vt:lpstr>Sub-Category Data</vt:lpstr>
      <vt:lpstr>Project Start Dates</vt:lpstr>
      <vt:lpstr>Success Statistics</vt:lpstr>
      <vt:lpstr>Outcome Summary Stats</vt:lpstr>
      <vt:lpstr>Project Count Growth</vt:lpstr>
      <vt:lpstr>failed_backers</vt:lpstr>
      <vt:lpstr>project_goals</vt:lpstr>
      <vt:lpstr>projects_state</vt:lpstr>
      <vt:lpstr>succ_backers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2020-05-22T16:27:48Z</dcterms:modified>
</cp:coreProperties>
</file>