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175" yWindow="1605" windowWidth="19095" windowHeight="9435"/>
  </bookViews>
  <sheets>
    <sheet name="Report" sheetId="3" r:id="rId1"/>
    <sheet name="Terran units" sheetId="4" r:id="rId2"/>
  </sheets>
  <definedNames>
    <definedName name="Groups">Report!$A$8:$L$9</definedName>
    <definedName name="Items">Report!$C$9:$L$9</definedName>
    <definedName name="temp_range_0">Report!$A$10:$L$13</definedName>
    <definedName name="temp_range_1">Report!$C$11:$L$11</definedName>
    <definedName name="temp_range_10">Report!$A$32:$L$36</definedName>
    <definedName name="temp_range_11">Report!$C$33:$L$33</definedName>
    <definedName name="temp_range_12">Report!$A$37:$L$40</definedName>
    <definedName name="temp_range_13">Report!$C$38:$L$38</definedName>
    <definedName name="temp_range_14">Report!$C$12:$L$12</definedName>
    <definedName name="temp_range_15">Report!$C$13:$L$13</definedName>
    <definedName name="temp_range_16">Report!$C$16:$L$16</definedName>
    <definedName name="temp_range_17">Report!$C$17:$L$17</definedName>
    <definedName name="temp_range_18">Report!$C$18:$L$18</definedName>
    <definedName name="temp_range_19">Report!$C$21:$L$21</definedName>
    <definedName name="temp_range_2">Report!$A$14:$L$18</definedName>
    <definedName name="temp_range_20">Report!$C$24:$L$24</definedName>
    <definedName name="temp_range_21">Report!$C$25:$L$25</definedName>
    <definedName name="temp_range_22">Report!$C$26:$L$26</definedName>
    <definedName name="temp_range_23">Report!$C$29:$L$29</definedName>
    <definedName name="temp_range_24">Report!$C$30:$L$30</definedName>
    <definedName name="temp_range_25">Report!$C$31:$L$31</definedName>
    <definedName name="temp_range_26">Report!$C$34:$L$34</definedName>
    <definedName name="temp_range_27">Report!$C$35:$L$35</definedName>
    <definedName name="temp_range_28">Report!$C$36:$L$36</definedName>
    <definedName name="temp_range_29">Report!$C$39:$L$39</definedName>
    <definedName name="temp_range_3">Report!$C$15:$L$15</definedName>
    <definedName name="temp_range_30">Report!$C$40:$L$40</definedName>
    <definedName name="temp_range_31">Report!$A$42:$L$42</definedName>
    <definedName name="temp_range_32">Report!$A$43:$L$43</definedName>
    <definedName name="temp_range_33">Report!$A$44:$L$44</definedName>
    <definedName name="temp_range_4">Report!$A$19:$L$21</definedName>
    <definedName name="temp_range_5">Report!$C$20:$L$20</definedName>
    <definedName name="temp_range_6">Report!$A$22:$L$26</definedName>
    <definedName name="temp_range_7">Report!$C$23:$L$23</definedName>
    <definedName name="temp_range_8">Report!$A$27:$L$31</definedName>
    <definedName name="temp_range_9">Report!$C$28:$L$28</definedName>
    <definedName name="Total">Report!$A$41:$L$41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1" i="3"/>
  <c r="H50"/>
  <c r="H49"/>
  <c r="G45"/>
  <c r="F45"/>
  <c r="E45"/>
  <c r="D45"/>
  <c r="K44"/>
  <c r="H44"/>
  <c r="K43"/>
  <c r="H43"/>
  <c r="K42"/>
  <c r="H42"/>
  <c r="K41"/>
  <c r="H41"/>
  <c r="K40"/>
  <c r="H40"/>
  <c r="K39"/>
  <c r="H39"/>
  <c r="K38"/>
  <c r="H38"/>
  <c r="K37"/>
  <c r="H37"/>
  <c r="K36"/>
  <c r="H36"/>
  <c r="K35"/>
  <c r="H35"/>
  <c r="K34"/>
  <c r="H34"/>
  <c r="K33"/>
  <c r="H33"/>
  <c r="K32"/>
  <c r="H32"/>
  <c r="K31"/>
  <c r="H31"/>
  <c r="K30"/>
  <c r="H30"/>
  <c r="K29"/>
  <c r="H29"/>
  <c r="K28"/>
  <c r="H28"/>
  <c r="K27"/>
  <c r="H27"/>
  <c r="K26"/>
  <c r="H26"/>
  <c r="K25"/>
  <c r="H25"/>
  <c r="K24"/>
  <c r="H24"/>
  <c r="K23"/>
  <c r="H23"/>
  <c r="K22"/>
  <c r="H22"/>
  <c r="K21"/>
  <c r="H21"/>
  <c r="K20"/>
  <c r="H20"/>
  <c r="K19"/>
  <c r="H19"/>
  <c r="K18"/>
  <c r="H18"/>
  <c r="K17"/>
  <c r="H17"/>
  <c r="K16"/>
  <c r="H16"/>
  <c r="K15"/>
  <c r="H15"/>
  <c r="K14"/>
  <c r="H14"/>
  <c r="K13"/>
  <c r="H13"/>
  <c r="K12"/>
  <c r="H12"/>
  <c r="K11"/>
  <c r="H11"/>
  <c r="K10"/>
  <c r="H10"/>
  <c r="K9"/>
  <c r="H9"/>
  <c r="K8"/>
  <c r="H8"/>
  <c r="D46" l="1"/>
  <c r="F46"/>
  <c r="G46"/>
  <c r="H45"/>
  <c r="I33" l="1"/>
  <c r="I26"/>
  <c r="I20"/>
  <c r="I15"/>
  <c r="I10"/>
  <c r="I8"/>
  <c r="E46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I40"/>
  <c r="I39"/>
  <c r="I38"/>
  <c r="I37"/>
  <c r="I36"/>
  <c r="I35"/>
  <c r="I34"/>
  <c r="I32"/>
  <c r="I31"/>
  <c r="I30"/>
  <c r="I29"/>
  <c r="I28"/>
  <c r="I27"/>
  <c r="I25"/>
  <c r="I24"/>
  <c r="I23"/>
  <c r="I22"/>
  <c r="I21"/>
  <c r="I19"/>
  <c r="I18"/>
  <c r="I17"/>
  <c r="I16"/>
  <c r="I14"/>
  <c r="I13"/>
  <c r="I12"/>
  <c r="I11"/>
  <c r="I9"/>
  <c r="I45" l="1"/>
</calcChain>
</file>

<file path=xl/sharedStrings.xml><?xml version="1.0" encoding="utf-8"?>
<sst xmlns="http://schemas.openxmlformats.org/spreadsheetml/2006/main" count="91" uniqueCount="88">
  <si>
    <t>ASSETS</t>
  </si>
  <si>
    <t>TOTAL</t>
  </si>
  <si>
    <t>Current %</t>
  </si>
  <si>
    <t>Target %</t>
  </si>
  <si>
    <t>TOTAL ACCOUNT</t>
  </si>
  <si>
    <t xml:space="preserve">PERCENT OF TOTAL </t>
  </si>
  <si>
    <t>Unrealized losses</t>
  </si>
  <si>
    <t>Alert %</t>
  </si>
  <si>
    <t>Action</t>
  </si>
  <si>
    <t>Unrealized Gains</t>
  </si>
  <si>
    <t>Realized Gains</t>
  </si>
  <si>
    <t>Unit</t>
  </si>
  <si>
    <t>Size</t>
  </si>
  <si>
    <t>Minerals</t>
  </si>
  <si>
    <t>Gas</t>
  </si>
  <si>
    <t>Ground Attack</t>
  </si>
  <si>
    <t>Air Attack</t>
  </si>
  <si>
    <t>Range</t>
  </si>
  <si>
    <t>Build Time</t>
  </si>
  <si>
    <t>Version</t>
  </si>
  <si>
    <t>account 0  reg 0</t>
  </si>
  <si>
    <t>name 0</t>
  </si>
  <si>
    <t>number 0</t>
  </si>
  <si>
    <t>account 1  reg 1</t>
  </si>
  <si>
    <t>name 1</t>
  </si>
  <si>
    <t>number 1</t>
  </si>
  <si>
    <t>account 2  reg 2</t>
  </si>
  <si>
    <t>name 2</t>
  </si>
  <si>
    <t>number 2</t>
  </si>
  <si>
    <t>account 3  reg 3</t>
  </si>
  <si>
    <t>name 3</t>
  </si>
  <si>
    <t>number 3</t>
  </si>
  <si>
    <t>report header</t>
  </si>
  <si>
    <t>17.1.2020.</t>
  </si>
  <si>
    <t>group 0</t>
  </si>
  <si>
    <t>desc 0</t>
  </si>
  <si>
    <t>subitem 0 for 0</t>
  </si>
  <si>
    <t>group 1</t>
  </si>
  <si>
    <t>desc 1</t>
  </si>
  <si>
    <t>subitem 0 for 1</t>
  </si>
  <si>
    <t>subitem 1 for 1</t>
  </si>
  <si>
    <t>subitem 2 for 1</t>
  </si>
  <si>
    <t>group 2</t>
  </si>
  <si>
    <t>desc 2</t>
  </si>
  <si>
    <t>subitem 0 for 2</t>
  </si>
  <si>
    <t>subitem 1 for 2</t>
  </si>
  <si>
    <t>subitem 2 for 2</t>
  </si>
  <si>
    <t>subitem 3 for 2</t>
  </si>
  <si>
    <t>group 3</t>
  </si>
  <si>
    <t>desc 3</t>
  </si>
  <si>
    <t>subitem 0 for 3</t>
  </si>
  <si>
    <t>subitem 1 for 3</t>
  </si>
  <si>
    <t>group 4</t>
  </si>
  <si>
    <t>desc 4</t>
  </si>
  <si>
    <t>subitem 0 for 4</t>
  </si>
  <si>
    <t>subitem 1 for 4</t>
  </si>
  <si>
    <t>subitem 2 for 4</t>
  </si>
  <si>
    <t>subitem 3 for 4</t>
  </si>
  <si>
    <t>group 5</t>
  </si>
  <si>
    <t>desc 5</t>
  </si>
  <si>
    <t>subitem 0 for 5</t>
  </si>
  <si>
    <t>subitem 1 for 5</t>
  </si>
  <si>
    <t>subitem 2 for 5</t>
  </si>
  <si>
    <t>subitem 3 for 5</t>
  </si>
  <si>
    <t>group 6</t>
  </si>
  <si>
    <t>desc 6</t>
  </si>
  <si>
    <t>subitem 0 for 6</t>
  </si>
  <si>
    <t>subitem 1 for 6</t>
  </si>
  <si>
    <t>subitem 2 for 6</t>
  </si>
  <si>
    <t>subitem 3 for 6</t>
  </si>
  <si>
    <t>group 7</t>
  </si>
  <si>
    <t>desc 7</t>
  </si>
  <si>
    <t>subitem 0 for 7</t>
  </si>
  <si>
    <t>subitem 1 for 7</t>
  </si>
  <si>
    <t>subitem 2 for 7</t>
  </si>
  <si>
    <t>total 0</t>
  </si>
  <si>
    <t>total 1</t>
  </si>
  <si>
    <t>total 2</t>
  </si>
  <si>
    <t>total 3</t>
  </si>
  <si>
    <t>Battlecruiser</t>
  </si>
  <si>
    <t>L</t>
  </si>
  <si>
    <t>Dropship</t>
  </si>
  <si>
    <t>Firebat</t>
  </si>
  <si>
    <t>S</t>
  </si>
  <si>
    <t>Ghost</t>
  </si>
  <si>
    <t>Marine</t>
  </si>
  <si>
    <t>Vulture</t>
  </si>
  <si>
    <t>M</t>
  </si>
</sst>
</file>

<file path=xl/styles.xml><?xml version="1.0" encoding="utf-8"?>
<styleSheet xmlns="http://schemas.openxmlformats.org/spreadsheetml/2006/main">
  <numFmts count="7">
    <numFmt numFmtId="164" formatCode="_(&quot;$&quot;* #,##0.00_);_(&quot;$&quot;* \(#,##0.00\);_(&quot;$&quot;* &quot;-&quot;??_);_(@_)"/>
    <numFmt numFmtId="165" formatCode="[$-1010409]mmmm\ dd\,\ yyyy"/>
    <numFmt numFmtId="166" formatCode="[$-1010409]&quot;$&quot;\ \ ###,###,###"/>
    <numFmt numFmtId="167" formatCode="[$-1010409]#,##0.00%"/>
    <numFmt numFmtId="168" formatCode="0.0%"/>
    <numFmt numFmtId="169" formatCode="&quot;$&quot;#,##0"/>
    <numFmt numFmtId="170" formatCode="&quot;$&quot;#,##0;[Red]\-&quot;$&quot;#,##0"/>
  </numFmts>
  <fonts count="2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8"/>
      <color rgb="FF143C00"/>
      <name val="Arial"/>
      <family val="2"/>
      <charset val="238"/>
    </font>
    <font>
      <sz val="10"/>
      <color rgb="FF143C00"/>
      <name val="Arial"/>
      <family val="2"/>
      <charset val="238"/>
    </font>
    <font>
      <sz val="10"/>
      <name val="Arial"/>
      <family val="2"/>
      <charset val="238"/>
    </font>
    <font>
      <sz val="10"/>
      <color indexed="8"/>
      <name val="Arial"/>
      <family val="2"/>
      <charset val="238"/>
    </font>
    <font>
      <sz val="10"/>
      <color theme="3" tint="-0.249977111117893"/>
      <name val="Arial"/>
      <family val="2"/>
      <charset val="238"/>
    </font>
    <font>
      <sz val="10"/>
      <color rgb="FFFF0000"/>
      <name val="Arial"/>
      <family val="2"/>
      <charset val="238"/>
    </font>
    <font>
      <b/>
      <sz val="11"/>
      <color theme="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i/>
      <sz val="10"/>
      <color indexed="8"/>
      <name val="Arial"/>
      <family val="2"/>
      <charset val="238"/>
    </font>
    <font>
      <sz val="11"/>
      <color indexed="8"/>
      <name val="Arial"/>
      <family val="2"/>
      <charset val="238"/>
    </font>
    <font>
      <sz val="11"/>
      <color theme="0"/>
      <name val="Arial"/>
      <family val="2"/>
      <charset val="238"/>
    </font>
    <font>
      <sz val="10"/>
      <color theme="0"/>
      <name val="Arial"/>
      <family val="2"/>
      <charset val="238"/>
    </font>
    <font>
      <sz val="9"/>
      <color indexed="8"/>
      <name val="Arial"/>
      <family val="2"/>
      <charset val="238"/>
    </font>
    <font>
      <b/>
      <sz val="10"/>
      <color indexed="8"/>
      <name val="Arial"/>
      <family val="2"/>
      <charset val="238"/>
    </font>
    <font>
      <b/>
      <i/>
      <sz val="18"/>
      <color theme="4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002D00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 style="medium">
        <color indexed="22"/>
      </right>
      <top/>
      <bottom style="medium">
        <color indexed="22"/>
      </bottom>
      <diagonal/>
    </border>
    <border>
      <left style="medium">
        <color indexed="22"/>
      </left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 style="medium">
        <color indexed="22"/>
      </top>
      <bottom style="medium">
        <color indexed="22"/>
      </bottom>
      <diagonal/>
    </border>
    <border>
      <left/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/>
      <right style="medium">
        <color indexed="22"/>
      </right>
      <top style="medium">
        <color indexed="22"/>
      </top>
      <bottom/>
      <diagonal/>
    </border>
    <border>
      <left style="medium">
        <color indexed="22"/>
      </left>
      <right/>
      <top/>
      <bottom style="medium">
        <color indexed="22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indexed="22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indexed="22"/>
      </top>
      <bottom/>
      <diagonal/>
    </border>
    <border>
      <left/>
      <right/>
      <top/>
      <bottom style="medium">
        <color indexed="22"/>
      </bottom>
      <diagonal/>
    </border>
    <border>
      <left style="medium">
        <color indexed="22"/>
      </left>
      <right/>
      <top/>
      <bottom/>
      <diagonal/>
    </border>
    <border>
      <left/>
      <right style="medium">
        <color indexed="22"/>
      </right>
      <top/>
      <bottom/>
      <diagonal/>
    </border>
    <border>
      <left style="medium">
        <color indexed="22"/>
      </left>
      <right style="medium">
        <color indexed="22"/>
      </right>
      <top/>
      <bottom/>
      <diagonal/>
    </border>
    <border>
      <left/>
      <right/>
      <top style="medium">
        <color indexed="22"/>
      </top>
      <bottom style="medium">
        <color indexed="22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</borders>
  <cellStyleXfs count="7">
    <xf numFmtId="0" fontId="0" fillId="0" borderId="0">
      <alignment wrapText="1"/>
    </xf>
    <xf numFmtId="0" fontId="1" fillId="0" borderId="0">
      <alignment wrapText="1"/>
    </xf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5">
    <xf numFmtId="0" fontId="0" fillId="0" borderId="0" xfId="0">
      <alignment wrapText="1"/>
    </xf>
    <xf numFmtId="0" fontId="4" fillId="0" borderId="0" xfId="0" applyFont="1" applyFill="1" applyBorder="1" applyAlignment="1">
      <alignment vertical="top" wrapText="1"/>
    </xf>
    <xf numFmtId="0" fontId="5" fillId="0" borderId="0" xfId="0" applyFont="1">
      <alignment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Alignment="1">
      <alignment vertical="top" wrapText="1"/>
    </xf>
    <xf numFmtId="165" fontId="6" fillId="0" borderId="0" xfId="0" applyNumberFormat="1" applyFont="1" applyFill="1" applyBorder="1" applyAlignment="1">
      <alignment vertical="top"/>
    </xf>
    <xf numFmtId="0" fontId="7" fillId="0" borderId="0" xfId="0" applyFont="1" applyFill="1" applyBorder="1" applyAlignment="1">
      <alignment horizont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9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wrapText="1"/>
    </xf>
    <xf numFmtId="166" fontId="12" fillId="3" borderId="1" xfId="0" applyNumberFormat="1" applyFont="1" applyFill="1" applyBorder="1" applyAlignment="1">
      <alignment vertical="center" wrapText="1"/>
    </xf>
    <xf numFmtId="166" fontId="13" fillId="3" borderId="1" xfId="0" applyNumberFormat="1" applyFont="1" applyFill="1" applyBorder="1" applyAlignment="1" applyProtection="1">
      <alignment vertical="center" wrapText="1"/>
    </xf>
    <xf numFmtId="168" fontId="5" fillId="3" borderId="1" xfId="0" applyNumberFormat="1" applyFont="1" applyFill="1" applyBorder="1" applyAlignment="1" applyProtection="1">
      <alignment horizontal="center" vertical="center" wrapText="1"/>
    </xf>
    <xf numFmtId="168" fontId="5" fillId="3" borderId="1" xfId="6" quotePrefix="1" applyNumberFormat="1" applyFont="1" applyFill="1" applyBorder="1" applyAlignment="1" applyProtection="1">
      <alignment horizontal="center" vertical="center" wrapText="1"/>
    </xf>
    <xf numFmtId="170" fontId="5" fillId="3" borderId="1" xfId="5" quotePrefix="1" applyNumberFormat="1" applyFont="1" applyFill="1" applyBorder="1" applyAlignment="1" applyProtection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166" fontId="15" fillId="0" borderId="1" xfId="0" applyNumberFormat="1" applyFont="1" applyFill="1" applyBorder="1" applyAlignment="1" applyProtection="1">
      <alignment vertical="center" wrapText="1"/>
    </xf>
    <xf numFmtId="168" fontId="6" fillId="0" borderId="1" xfId="0" applyNumberFormat="1" applyFont="1" applyFill="1" applyBorder="1" applyAlignment="1" applyProtection="1">
      <alignment horizontal="center" vertical="center" wrapText="1"/>
    </xf>
    <xf numFmtId="168" fontId="6" fillId="0" borderId="1" xfId="4" quotePrefix="1" applyNumberFormat="1" applyFont="1" applyFill="1" applyBorder="1" applyAlignment="1" applyProtection="1">
      <alignment horizontal="center" vertical="center" wrapText="1"/>
    </xf>
    <xf numFmtId="170" fontId="6" fillId="0" borderId="1" xfId="5" quotePrefix="1" applyNumberFormat="1" applyFont="1" applyFill="1" applyBorder="1" applyAlignment="1" applyProtection="1">
      <alignment horizontal="center" vertical="center" wrapText="1"/>
    </xf>
    <xf numFmtId="166" fontId="16" fillId="2" borderId="10" xfId="0" applyNumberFormat="1" applyFont="1" applyFill="1" applyBorder="1" applyAlignment="1" applyProtection="1">
      <alignment vertical="center" wrapText="1"/>
    </xf>
    <xf numFmtId="166" fontId="9" fillId="2" borderId="10" xfId="0" applyNumberFormat="1" applyFont="1" applyFill="1" applyBorder="1" applyAlignment="1" applyProtection="1">
      <alignment vertical="center" wrapText="1"/>
    </xf>
    <xf numFmtId="168" fontId="17" fillId="2" borderId="10" xfId="0" applyNumberFormat="1" applyFont="1" applyFill="1" applyBorder="1" applyAlignment="1" applyProtection="1">
      <alignment horizontal="center" vertical="center" wrapText="1"/>
    </xf>
    <xf numFmtId="168" fontId="17" fillId="2" borderId="10" xfId="4" applyNumberFormat="1" applyFont="1" applyFill="1" applyBorder="1" applyAlignment="1" applyProtection="1">
      <alignment horizontal="center" vertical="center" wrapText="1"/>
    </xf>
    <xf numFmtId="169" fontId="17" fillId="2" borderId="10" xfId="3" applyNumberFormat="1" applyFont="1" applyFill="1" applyBorder="1" applyAlignment="1" applyProtection="1">
      <alignment horizontal="center" vertical="center" wrapText="1"/>
    </xf>
    <xf numFmtId="167" fontId="6" fillId="0" borderId="1" xfId="0" applyNumberFormat="1" applyFont="1" applyFill="1" applyBorder="1" applyAlignment="1" applyProtection="1">
      <alignment vertical="center" wrapText="1"/>
    </xf>
    <xf numFmtId="9" fontId="6" fillId="0" borderId="1" xfId="0" applyNumberFormat="1" applyFont="1" applyFill="1" applyBorder="1" applyAlignment="1" applyProtection="1">
      <alignment vertical="center" wrapText="1"/>
    </xf>
    <xf numFmtId="166" fontId="6" fillId="0" borderId="1" xfId="0" applyNumberFormat="1" applyFont="1" applyFill="1" applyBorder="1" applyAlignment="1" applyProtection="1">
      <alignment vertical="top" wrapText="1"/>
    </xf>
    <xf numFmtId="166" fontId="19" fillId="0" borderId="1" xfId="0" applyNumberFormat="1" applyFont="1" applyFill="1" applyBorder="1" applyAlignment="1" applyProtection="1">
      <alignment vertical="top" wrapText="1"/>
    </xf>
    <xf numFmtId="167" fontId="6" fillId="0" borderId="13" xfId="0" applyNumberFormat="1" applyFont="1" applyFill="1" applyBorder="1" applyAlignment="1" applyProtection="1">
      <alignment vertical="top" wrapText="1"/>
    </xf>
    <xf numFmtId="167" fontId="6" fillId="0" borderId="14" xfId="0" applyNumberFormat="1" applyFont="1" applyFill="1" applyBorder="1" applyAlignment="1" applyProtection="1">
      <alignment vertical="top" wrapText="1"/>
    </xf>
    <xf numFmtId="0" fontId="6" fillId="0" borderId="15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/>
    </xf>
    <xf numFmtId="0" fontId="11" fillId="3" borderId="4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vertical="center" wrapText="1"/>
    </xf>
    <xf numFmtId="0" fontId="10" fillId="2" borderId="11" xfId="0" applyFont="1" applyFill="1" applyBorder="1" applyAlignment="1">
      <alignment vertical="center" wrapText="1"/>
    </xf>
    <xf numFmtId="0" fontId="10" fillId="2" borderId="21" xfId="0" applyFont="1" applyFill="1" applyBorder="1" applyAlignment="1">
      <alignment vertical="center" wrapText="1"/>
    </xf>
    <xf numFmtId="0" fontId="10" fillId="2" borderId="12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8" fillId="0" borderId="4" xfId="0" applyFont="1" applyFill="1" applyBorder="1" applyAlignment="1">
      <alignment vertical="center" wrapText="1"/>
    </xf>
    <xf numFmtId="0" fontId="18" fillId="0" borderId="20" xfId="0" applyFont="1" applyFill="1" applyBorder="1" applyAlignment="1">
      <alignment vertical="center" wrapText="1"/>
    </xf>
    <xf numFmtId="0" fontId="18" fillId="0" borderId="5" xfId="0" applyFont="1" applyFill="1" applyBorder="1" applyAlignment="1">
      <alignment vertical="center" wrapText="1"/>
    </xf>
    <xf numFmtId="0" fontId="6" fillId="0" borderId="15" xfId="0" applyFont="1" applyFill="1" applyBorder="1" applyAlignment="1">
      <alignment vertical="top" wrapText="1"/>
    </xf>
    <xf numFmtId="0" fontId="6" fillId="0" borderId="16" xfId="0" applyFont="1" applyFill="1" applyBorder="1" applyAlignment="1">
      <alignment vertical="top" wrapText="1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9" fillId="2" borderId="6" xfId="0" applyFont="1" applyFill="1" applyBorder="1" applyAlignment="1">
      <alignment wrapText="1"/>
    </xf>
    <xf numFmtId="0" fontId="9" fillId="2" borderId="15" xfId="0" applyFont="1" applyFill="1" applyBorder="1" applyAlignment="1">
      <alignment wrapText="1"/>
    </xf>
    <xf numFmtId="0" fontId="9" fillId="2" borderId="7" xfId="0" applyFont="1" applyFill="1" applyBorder="1" applyAlignment="1">
      <alignment wrapText="1"/>
    </xf>
    <xf numFmtId="0" fontId="9" fillId="2" borderId="17" xfId="0" applyFont="1" applyFill="1" applyBorder="1" applyAlignment="1">
      <alignment wrapText="1"/>
    </xf>
    <xf numFmtId="0" fontId="9" fillId="2" borderId="0" xfId="0" applyFont="1" applyFill="1" applyBorder="1" applyAlignment="1">
      <alignment wrapText="1"/>
    </xf>
    <xf numFmtId="0" fontId="9" fillId="2" borderId="18" xfId="0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5" fillId="2" borderId="16" xfId="0" applyFont="1" applyFill="1" applyBorder="1" applyAlignment="1">
      <alignment wrapText="1"/>
    </xf>
    <xf numFmtId="0" fontId="5" fillId="2" borderId="9" xfId="0" applyFont="1" applyFill="1" applyBorder="1" applyAlignment="1">
      <alignment wrapText="1"/>
    </xf>
    <xf numFmtId="0" fontId="10" fillId="2" borderId="3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horizontal="left" vertical="top" wrapText="1"/>
    </xf>
  </cellXfs>
  <cellStyles count="7">
    <cellStyle name="Currency" xfId="3" builtinId="4"/>
    <cellStyle name="Currency 2" xfId="5"/>
    <cellStyle name="Normal" xfId="0" builtinId="0"/>
    <cellStyle name="Normal 2" xfId="1"/>
    <cellStyle name="Normal 3" xfId="2"/>
    <cellStyle name="Percent" xfId="4" builtinId="5"/>
    <cellStyle name="Percent 2" xfId="6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colors>
    <mruColors>
      <color rgb="FF002D00"/>
      <color rgb="FF003300"/>
      <color rgb="FF000000"/>
      <color rgb="FFFFFF99"/>
      <color rgb="FF143C00"/>
      <color rgb="FF293C00"/>
      <color rgb="FF293800"/>
      <color rgb="FF3C4B00"/>
      <color rgb="FF3C4A00"/>
      <color rgb="FF3C4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ables/table1.xml><?xml version="1.0" encoding="utf-8"?>
<table xmlns="http://schemas.openxmlformats.org/spreadsheetml/2006/main" id="1" name="Table1" displayName="Table1" ref="A1:I7" totalsRowShown="0" headerRowDxfId="10" dataDxfId="9">
  <autoFilter ref="A1:I7"/>
  <tableColumns count="9">
    <tableColumn id="1" name="Unit" dataDxfId="8"/>
    <tableColumn id="2" name="Size" dataDxfId="7"/>
    <tableColumn id="3" name="Version" dataDxfId="6"/>
    <tableColumn id="4" name="Minerals" dataDxfId="5"/>
    <tableColumn id="5" name="Gas" dataDxfId="4"/>
    <tableColumn id="6" name="Ground Attack" dataDxfId="3"/>
    <tableColumn id="7" name="Air Attack" dataDxfId="2"/>
    <tableColumn id="8" name="Range" dataDxfId="1"/>
    <tableColumn id="9" name="Build Time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L51"/>
  <sheetViews>
    <sheetView showFormulas="1" showGridLines="0" tabSelected="1" zoomScaleNormal="100" zoomScaleSheetLayoutView="85" workbookViewId="0">
      <pane xSplit="3" ySplit="7" topLeftCell="D8" activePane="bottomRight" state="frozen"/>
      <selection sqref="A1:C1"/>
      <selection pane="topRight" sqref="A1:C1"/>
      <selection pane="bottomLeft" sqref="A1:C1"/>
      <selection pane="bottomRight" sqref="A1:C1"/>
    </sheetView>
  </sheetViews>
  <sheetFormatPr defaultRowHeight="12.75"/>
  <cols>
    <col min="1" max="1" width="4.85546875" style="2" customWidth="1"/>
    <col min="2" max="2" width="5" style="2" customWidth="1"/>
    <col min="3" max="3" width="12.140625" style="2" customWidth="1"/>
    <col min="4" max="4" width="13.5703125" style="2" customWidth="1"/>
    <col min="5" max="5" width="10.140625" style="2" customWidth="1"/>
    <col min="6" max="6" width="7.85546875" style="2" customWidth="1"/>
    <col min="7" max="7" width="8.85546875" style="2" customWidth="1"/>
    <col min="8" max="8" width="17.5703125" style="2" customWidth="1"/>
    <col min="9" max="9" width="15.85546875" style="2" customWidth="1"/>
    <col min="10" max="16384" width="9.140625" style="2"/>
  </cols>
  <sheetData>
    <row r="1" spans="1:12" ht="25.5" customHeight="1">
      <c r="A1" s="64" t="s">
        <v>32</v>
      </c>
      <c r="B1" s="64"/>
      <c r="C1" s="64"/>
      <c r="D1" s="1"/>
      <c r="E1" s="50"/>
      <c r="F1" s="50"/>
      <c r="G1" s="50"/>
      <c r="H1" s="51"/>
      <c r="I1" s="51"/>
    </row>
    <row r="2" spans="1:12" ht="13.5" customHeight="1">
      <c r="A2" s="3"/>
      <c r="B2" s="3"/>
      <c r="C2" s="4"/>
      <c r="D2" s="4"/>
      <c r="E2" s="4"/>
      <c r="F2" s="4"/>
      <c r="G2" s="3"/>
    </row>
    <row r="3" spans="1:12" ht="19.5" customHeight="1" thickBot="1">
      <c r="A3" s="5" t="s">
        <v>33</v>
      </c>
      <c r="B3" s="5"/>
      <c r="C3" s="5"/>
      <c r="D3" s="5"/>
      <c r="E3" s="3"/>
      <c r="F3" s="3"/>
      <c r="G3" s="6"/>
      <c r="H3" s="49"/>
      <c r="I3" s="49"/>
    </row>
    <row r="4" spans="1:12" ht="2.25" hidden="1" customHeight="1" thickBot="1">
      <c r="A4" s="3"/>
      <c r="B4" s="3"/>
      <c r="C4" s="4"/>
      <c r="D4" s="4"/>
      <c r="E4" s="4"/>
      <c r="F4" s="4"/>
      <c r="G4" s="3"/>
    </row>
    <row r="5" spans="1:12" ht="54.75" customHeight="1">
      <c r="A5" s="52" t="s">
        <v>0</v>
      </c>
      <c r="B5" s="53"/>
      <c r="C5" s="54"/>
      <c r="D5" s="7" t="s">
        <v>20</v>
      </c>
      <c r="E5" s="7" t="s">
        <v>23</v>
      </c>
      <c r="F5" s="7" t="s">
        <v>26</v>
      </c>
      <c r="G5" s="7" t="s">
        <v>29</v>
      </c>
      <c r="H5" s="61" t="s">
        <v>1</v>
      </c>
      <c r="I5" s="61" t="s">
        <v>2</v>
      </c>
      <c r="J5" s="61" t="s">
        <v>3</v>
      </c>
      <c r="K5" s="61" t="s">
        <v>7</v>
      </c>
      <c r="L5" s="61" t="s">
        <v>8</v>
      </c>
    </row>
    <row r="6" spans="1:12" ht="15" customHeight="1">
      <c r="A6" s="55"/>
      <c r="B6" s="56"/>
      <c r="C6" s="57"/>
      <c r="D6" s="8" t="s">
        <v>21</v>
      </c>
      <c r="E6" s="8" t="s">
        <v>24</v>
      </c>
      <c r="F6" s="8" t="s">
        <v>27</v>
      </c>
      <c r="G6" s="8" t="s">
        <v>30</v>
      </c>
      <c r="H6" s="62"/>
      <c r="I6" s="62"/>
      <c r="J6" s="62"/>
      <c r="K6" s="62"/>
      <c r="L6" s="62"/>
    </row>
    <row r="7" spans="1:12" ht="15" customHeight="1" thickBot="1">
      <c r="A7" s="58"/>
      <c r="B7" s="59"/>
      <c r="C7" s="60"/>
      <c r="D7" s="9" t="s">
        <v>22</v>
      </c>
      <c r="E7" s="9" t="s">
        <v>25</v>
      </c>
      <c r="F7" s="9" t="s">
        <v>28</v>
      </c>
      <c r="G7" s="9" t="s">
        <v>31</v>
      </c>
      <c r="H7" s="63"/>
      <c r="I7" s="63"/>
      <c r="J7" s="63"/>
      <c r="K7" s="63"/>
      <c r="L7" s="63"/>
    </row>
    <row r="8" spans="1:12" ht="21.75" customHeight="1" thickBot="1">
      <c r="A8" s="33" t="s">
        <v>34</v>
      </c>
      <c r="B8" s="34"/>
      <c r="C8" s="35"/>
      <c r="D8" s="10">
        <v>5562</v>
      </c>
      <c r="E8" s="10">
        <v>6821</v>
      </c>
      <c r="F8" s="10">
        <v>3813</v>
      </c>
      <c r="G8" s="10">
        <v>1766</v>
      </c>
      <c r="H8" s="11">
        <f t="shared" ref="H8:H45" si="0">SUM(D8:G8)</f>
        <v>17962</v>
      </c>
      <c r="I8" s="12">
        <f t="shared" ref="I8:I40" si="1">H8/H$45</f>
        <v>0.12281289528563126</v>
      </c>
      <c r="J8" s="13">
        <v>2.0052712140629398</v>
      </c>
      <c r="K8" s="13">
        <f>IF( 1.70577596952476&gt;0,2.00527121406294 + (2.00527121406294 * 1.70577596952476),0)</f>
        <v>5.4258146633912432</v>
      </c>
      <c r="L8" s="14">
        <f t="shared" ref="L8:L40" si="2">(J8*H$45)-H8</f>
        <v>275318.94141277525</v>
      </c>
    </row>
    <row r="9" spans="1:12" ht="22.5" customHeight="1" thickBot="1">
      <c r="A9" s="47" t="s">
        <v>35</v>
      </c>
      <c r="B9" s="48"/>
      <c r="C9" s="15" t="s">
        <v>36</v>
      </c>
      <c r="D9" s="16">
        <v>1889</v>
      </c>
      <c r="E9" s="16">
        <v>3070</v>
      </c>
      <c r="F9" s="16">
        <v>1324</v>
      </c>
      <c r="G9" s="16">
        <v>3850</v>
      </c>
      <c r="H9" s="16">
        <f t="shared" si="0"/>
        <v>10133</v>
      </c>
      <c r="I9" s="17">
        <f t="shared" si="1"/>
        <v>6.9283101432429661E-2</v>
      </c>
      <c r="J9" s="18">
        <v>0.15089949506842501</v>
      </c>
      <c r="K9" s="18">
        <f>IF( 5.41167204054616&gt;0,0.150899495068425 +(0.150899495068425*67.1532092463007),0)</f>
        <v>10.28428486255949</v>
      </c>
      <c r="L9" s="19">
        <f t="shared" si="2"/>
        <v>11936.805651232498</v>
      </c>
    </row>
    <row r="10" spans="1:12" ht="21.75" customHeight="1">
      <c r="A10" s="33" t="s">
        <v>37</v>
      </c>
      <c r="B10" s="34"/>
      <c r="C10" s="35"/>
      <c r="D10" s="10">
        <v>8760</v>
      </c>
      <c r="E10" s="10">
        <v>3174</v>
      </c>
      <c r="F10" s="10">
        <v>854</v>
      </c>
      <c r="G10" s="10">
        <v>1676</v>
      </c>
      <c r="H10" s="11">
        <f t="shared" si="0"/>
        <v>14464</v>
      </c>
      <c r="I10" s="12">
        <f t="shared" si="1"/>
        <v>9.8895764247376158E-2</v>
      </c>
      <c r="J10" s="13">
        <v>5.5192029362168196</v>
      </c>
      <c r="K10" s="13">
        <f>IF( 74.0886007780622&gt;0,5.51920293621682 + (5.51920293621682 * 74.0886007780622),0)</f>
        <v>414.42922589069343</v>
      </c>
      <c r="L10" s="14">
        <f t="shared" si="2"/>
        <v>792747.02543639089</v>
      </c>
    </row>
    <row r="11" spans="1:12" ht="22.5" customHeight="1">
      <c r="A11" s="47" t="s">
        <v>38</v>
      </c>
      <c r="B11" s="48"/>
      <c r="C11" s="15" t="s">
        <v>39</v>
      </c>
      <c r="D11" s="16">
        <v>5087</v>
      </c>
      <c r="E11" s="16">
        <v>6085</v>
      </c>
      <c r="F11" s="16">
        <v>4587</v>
      </c>
      <c r="G11" s="16">
        <v>3726</v>
      </c>
      <c r="H11" s="16">
        <f t="shared" si="0"/>
        <v>19485</v>
      </c>
      <c r="I11" s="17">
        <f t="shared" si="1"/>
        <v>0.13322621448839356</v>
      </c>
      <c r="J11" s="18">
        <v>0.12947192701020799</v>
      </c>
      <c r="K11" s="18">
        <f>IF( 8.76748995332396&gt;0,0.129471927010208 +(0.129471927010208*49.909417121629),0)</f>
        <v>6.591340337703782</v>
      </c>
      <c r="L11" s="19">
        <f t="shared" si="2"/>
        <v>-549.08331512203222</v>
      </c>
    </row>
    <row r="12" spans="1:12" ht="22.5" customHeight="1">
      <c r="A12" s="47"/>
      <c r="B12" s="48"/>
      <c r="C12" s="15" t="s">
        <v>40</v>
      </c>
      <c r="D12" s="16">
        <v>7154</v>
      </c>
      <c r="E12" s="16">
        <v>5196</v>
      </c>
      <c r="F12" s="16">
        <v>2943</v>
      </c>
      <c r="G12" s="16">
        <v>4009</v>
      </c>
      <c r="H12" s="16">
        <f t="shared" si="0"/>
        <v>19302</v>
      </c>
      <c r="I12" s="17">
        <f t="shared" si="1"/>
        <v>0.13197497521452259</v>
      </c>
      <c r="J12" s="18">
        <v>0.13397528190816499</v>
      </c>
      <c r="K12" s="18">
        <f>IF( 7.18794598578845&gt;0,0.133975281908165 +(0.133975281908165*33.0586727396858),0)</f>
        <v>4.5630202817173382</v>
      </c>
      <c r="L12" s="19">
        <f t="shared" si="2"/>
        <v>292.5548554786692</v>
      </c>
    </row>
    <row r="13" spans="1:12" ht="22.5" customHeight="1">
      <c r="A13" s="47"/>
      <c r="B13" s="48"/>
      <c r="C13" s="15" t="s">
        <v>41</v>
      </c>
      <c r="D13" s="16">
        <v>2241</v>
      </c>
      <c r="E13" s="16">
        <v>8650</v>
      </c>
      <c r="F13" s="16">
        <v>8581</v>
      </c>
      <c r="G13" s="16">
        <v>2744</v>
      </c>
      <c r="H13" s="16">
        <f t="shared" si="0"/>
        <v>22216</v>
      </c>
      <c r="I13" s="17">
        <f t="shared" si="1"/>
        <v>0.15189908037332056</v>
      </c>
      <c r="J13" s="18">
        <v>0.3510750137973</v>
      </c>
      <c r="K13" s="18">
        <f>IF( 4.68771490486698&gt;0,0.3510750137973 +(0.3510750137973*41.8488223766204),0)</f>
        <v>15.043150907070064</v>
      </c>
      <c r="L13" s="19">
        <f t="shared" si="2"/>
        <v>29130.476142924112</v>
      </c>
    </row>
    <row r="14" spans="1:12" ht="21.75" customHeight="1">
      <c r="A14" s="33" t="s">
        <v>42</v>
      </c>
      <c r="B14" s="34"/>
      <c r="C14" s="35"/>
      <c r="D14" s="10">
        <v>5198</v>
      </c>
      <c r="E14" s="10">
        <v>8498</v>
      </c>
      <c r="F14" s="10">
        <v>8144</v>
      </c>
      <c r="G14" s="10">
        <v>588</v>
      </c>
      <c r="H14" s="11">
        <f t="shared" si="0"/>
        <v>22428</v>
      </c>
      <c r="I14" s="12">
        <f t="shared" si="1"/>
        <v>0.15334860346654816</v>
      </c>
      <c r="J14" s="13">
        <v>3.1145044477258401</v>
      </c>
      <c r="K14" s="13">
        <f>IF( 69.757305723502&gt;0,3.11450444772584 + (3.11450444772584 * 69.757305723502),0)</f>
        <v>220.37394338494403</v>
      </c>
      <c r="L14" s="14">
        <f t="shared" si="2"/>
        <v>433083.84800214274</v>
      </c>
    </row>
    <row r="15" spans="1:12" ht="22.5" customHeight="1">
      <c r="A15" s="47" t="s">
        <v>43</v>
      </c>
      <c r="B15" s="48"/>
      <c r="C15" s="15" t="s">
        <v>44</v>
      </c>
      <c r="D15" s="16">
        <v>2991</v>
      </c>
      <c r="E15" s="16">
        <v>400</v>
      </c>
      <c r="F15" s="16">
        <v>6364</v>
      </c>
      <c r="G15" s="16">
        <v>422</v>
      </c>
      <c r="H15" s="16">
        <f t="shared" si="0"/>
        <v>10177</v>
      </c>
      <c r="I15" s="17">
        <f t="shared" si="1"/>
        <v>6.9583945848005202E-2</v>
      </c>
      <c r="J15" s="18">
        <v>0.47941046044203001</v>
      </c>
      <c r="K15" s="18">
        <f>IF( 9.79172630691516&gt;0,0.47941046044203 +(0.47941046044203*94.3640126354825),0)</f>
        <v>45.718505207176236</v>
      </c>
      <c r="L15" s="19">
        <f t="shared" si="2"/>
        <v>59939.176891949101</v>
      </c>
    </row>
    <row r="16" spans="1:12" ht="22.5" customHeight="1">
      <c r="A16" s="47"/>
      <c r="B16" s="48"/>
      <c r="C16" s="15" t="s">
        <v>45</v>
      </c>
      <c r="D16" s="16">
        <v>2214</v>
      </c>
      <c r="E16" s="16">
        <v>40</v>
      </c>
      <c r="F16" s="16">
        <v>398</v>
      </c>
      <c r="G16" s="16">
        <v>2264</v>
      </c>
      <c r="H16" s="16">
        <f t="shared" si="0"/>
        <v>4916</v>
      </c>
      <c r="I16" s="17">
        <f t="shared" si="1"/>
        <v>3.3612526067484876E-2</v>
      </c>
      <c r="J16" s="18">
        <v>0.68901662933128704</v>
      </c>
      <c r="K16" s="18">
        <f>IF( 5.91151648476325&gt;0,0.689016629331287 +(0.689016629331287*61.2498162133851),0)</f>
        <v>42.891158543838706</v>
      </c>
      <c r="L16" s="19">
        <f t="shared" si="2"/>
        <v>95856.127122847392</v>
      </c>
    </row>
    <row r="17" spans="1:12" ht="22.5" customHeight="1">
      <c r="A17" s="47"/>
      <c r="B17" s="48"/>
      <c r="C17" s="15" t="s">
        <v>46</v>
      </c>
      <c r="D17" s="16">
        <v>916</v>
      </c>
      <c r="E17" s="16">
        <v>7507</v>
      </c>
      <c r="F17" s="16">
        <v>4077</v>
      </c>
      <c r="G17" s="16">
        <v>9527</v>
      </c>
      <c r="H17" s="16">
        <f t="shared" si="0"/>
        <v>22027</v>
      </c>
      <c r="I17" s="17">
        <f t="shared" si="1"/>
        <v>0.15060681686096203</v>
      </c>
      <c r="J17" s="18">
        <v>0.221333566224824</v>
      </c>
      <c r="K17" s="18">
        <f>IF( 5.17529605663162&gt;0,0.221333566224824 +(0.221333566224824*66.5498021368635),0)</f>
        <v>14.951038604733236</v>
      </c>
      <c r="L17" s="19">
        <f t="shared" si="2"/>
        <v>10344.140728211634</v>
      </c>
    </row>
    <row r="18" spans="1:12" ht="22.5" customHeight="1">
      <c r="A18" s="47"/>
      <c r="B18" s="48"/>
      <c r="C18" s="15" t="s">
        <v>47</v>
      </c>
      <c r="D18" s="16">
        <v>178</v>
      </c>
      <c r="E18" s="16">
        <v>378</v>
      </c>
      <c r="F18" s="16">
        <v>7253</v>
      </c>
      <c r="G18" s="16">
        <v>6907</v>
      </c>
      <c r="H18" s="16">
        <f t="shared" si="0"/>
        <v>14716</v>
      </c>
      <c r="I18" s="17">
        <f t="shared" si="1"/>
        <v>0.10061878226385423</v>
      </c>
      <c r="J18" s="18">
        <v>0.119159075487013</v>
      </c>
      <c r="K18" s="18">
        <f>IF( 1.96777282840003&gt;0,0.119159075487013 +(0.119159075487013*91.0552325151187),0)</f>
        <v>10.969216400243564</v>
      </c>
      <c r="L18" s="19">
        <f t="shared" si="2"/>
        <v>2711.6105853530862</v>
      </c>
    </row>
    <row r="19" spans="1:12" ht="21.75" customHeight="1">
      <c r="A19" s="33" t="s">
        <v>48</v>
      </c>
      <c r="B19" s="34"/>
      <c r="C19" s="35"/>
      <c r="D19" s="10">
        <v>735</v>
      </c>
      <c r="E19" s="10">
        <v>4552</v>
      </c>
      <c r="F19" s="10">
        <v>9514</v>
      </c>
      <c r="G19" s="10">
        <v>2284</v>
      </c>
      <c r="H19" s="11">
        <f t="shared" si="0"/>
        <v>17085</v>
      </c>
      <c r="I19" s="12">
        <f t="shared" si="1"/>
        <v>0.11681651909336432</v>
      </c>
      <c r="J19" s="13">
        <v>2.5354955264066801</v>
      </c>
      <c r="K19" s="13">
        <f>IF( 85.7046164505671&gt;0,2.53549552640668 + (2.53549552640668 * 85.7046164505671),0)</f>
        <v>219.83916712921993</v>
      </c>
      <c r="L19" s="14">
        <f t="shared" si="2"/>
        <v>353743.89821460901</v>
      </c>
    </row>
    <row r="20" spans="1:12" ht="22.5" customHeight="1">
      <c r="A20" s="47" t="s">
        <v>49</v>
      </c>
      <c r="B20" s="48"/>
      <c r="C20" s="15" t="s">
        <v>50</v>
      </c>
      <c r="D20" s="16">
        <v>7644</v>
      </c>
      <c r="E20" s="16">
        <v>935</v>
      </c>
      <c r="F20" s="16">
        <v>2401</v>
      </c>
      <c r="G20" s="16">
        <v>3520</v>
      </c>
      <c r="H20" s="16">
        <f t="shared" si="0"/>
        <v>14500</v>
      </c>
      <c r="I20" s="17">
        <f t="shared" si="1"/>
        <v>9.9141909678301596E-2</v>
      </c>
      <c r="J20" s="18">
        <v>0.27971627576263403</v>
      </c>
      <c r="K20" s="18">
        <f>IF( 6.44176412208088&gt;0,0.279716275762634 +(0.279716275762634*85.4953017483909),0)</f>
        <v>24.194143676025149</v>
      </c>
      <c r="L20" s="19">
        <f t="shared" si="2"/>
        <v>26409.903911664042</v>
      </c>
    </row>
    <row r="21" spans="1:12" ht="22.5" customHeight="1">
      <c r="A21" s="47"/>
      <c r="B21" s="48"/>
      <c r="C21" s="15" t="s">
        <v>51</v>
      </c>
      <c r="D21" s="16">
        <v>2356</v>
      </c>
      <c r="E21" s="16">
        <v>1262</v>
      </c>
      <c r="F21" s="16">
        <v>7799</v>
      </c>
      <c r="G21" s="16">
        <v>8275</v>
      </c>
      <c r="H21" s="16">
        <f t="shared" si="0"/>
        <v>19692</v>
      </c>
      <c r="I21" s="17">
        <f t="shared" si="1"/>
        <v>0.13464155071621484</v>
      </c>
      <c r="J21" s="18">
        <v>0.69895228263873199</v>
      </c>
      <c r="K21" s="18">
        <f>IF( 6.06870307869683&gt;0,0.698952282638732 +(0.698952282638732*45.4123860436549),0)</f>
        <v>32.440043167922617</v>
      </c>
      <c r="L21" s="19">
        <f t="shared" si="2"/>
        <v>82533.266097327753</v>
      </c>
    </row>
    <row r="22" spans="1:12" ht="21.75" customHeight="1">
      <c r="A22" s="33" t="s">
        <v>52</v>
      </c>
      <c r="B22" s="34"/>
      <c r="C22" s="35"/>
      <c r="D22" s="10">
        <v>5364</v>
      </c>
      <c r="E22" s="10">
        <v>1077</v>
      </c>
      <c r="F22" s="10">
        <v>2888</v>
      </c>
      <c r="G22" s="10">
        <v>122</v>
      </c>
      <c r="H22" s="11">
        <f t="shared" si="0"/>
        <v>9451</v>
      </c>
      <c r="I22" s="12">
        <f t="shared" si="1"/>
        <v>6.4620012991008849E-2</v>
      </c>
      <c r="J22" s="13">
        <v>1.07791076930142</v>
      </c>
      <c r="K22" s="13">
        <f>IF( 89.5641578312796&gt;0,1.07791076930142 + (1.07791076930142 * 89.5641578312796),0)</f>
        <v>97.620081039049822</v>
      </c>
      <c r="L22" s="14">
        <f t="shared" si="2"/>
        <v>148198.83956417919</v>
      </c>
    </row>
    <row r="23" spans="1:12" ht="22.5" customHeight="1">
      <c r="A23" s="47" t="s">
        <v>53</v>
      </c>
      <c r="B23" s="48"/>
      <c r="C23" s="15" t="s">
        <v>54</v>
      </c>
      <c r="D23" s="16">
        <v>3515</v>
      </c>
      <c r="E23" s="16">
        <v>3608</v>
      </c>
      <c r="F23" s="16">
        <v>7826</v>
      </c>
      <c r="G23" s="16">
        <v>340</v>
      </c>
      <c r="H23" s="16">
        <f t="shared" si="0"/>
        <v>15289</v>
      </c>
      <c r="I23" s="17">
        <f t="shared" si="1"/>
        <v>0.10453659703941745</v>
      </c>
      <c r="J23" s="18">
        <v>0.96715322135349402</v>
      </c>
      <c r="K23" s="18">
        <f>IF( 1.45989727762523&gt;0,0.967153221353494 +(0.967153221353494*75.7765927239212),0)</f>
        <v>74.254728977485627</v>
      </c>
      <c r="L23" s="19">
        <f t="shared" si="2"/>
        <v>126161.99438905527</v>
      </c>
    </row>
    <row r="24" spans="1:12" ht="22.5" customHeight="1">
      <c r="A24" s="47"/>
      <c r="B24" s="48"/>
      <c r="C24" s="15" t="s">
        <v>55</v>
      </c>
      <c r="D24" s="16">
        <v>1623</v>
      </c>
      <c r="E24" s="16">
        <v>2400</v>
      </c>
      <c r="F24" s="16">
        <v>6405</v>
      </c>
      <c r="G24" s="16">
        <v>3924</v>
      </c>
      <c r="H24" s="16">
        <f t="shared" si="0"/>
        <v>14352</v>
      </c>
      <c r="I24" s="17">
        <f t="shared" si="1"/>
        <v>9.8129978462274794E-2</v>
      </c>
      <c r="J24" s="18">
        <v>0.83614506099193597</v>
      </c>
      <c r="K24" s="18">
        <f>IF( 9.86302588594287&gt;0,0.836145060991936 +(0.836145060991936*31.4522246976626),0)</f>
        <v>27.134767399151105</v>
      </c>
      <c r="L24" s="19">
        <f t="shared" si="2"/>
        <v>107938.39589537559</v>
      </c>
    </row>
    <row r="25" spans="1:12" ht="22.5" customHeight="1">
      <c r="A25" s="47"/>
      <c r="B25" s="48"/>
      <c r="C25" s="15" t="s">
        <v>56</v>
      </c>
      <c r="D25" s="16">
        <v>7136</v>
      </c>
      <c r="E25" s="16">
        <v>8700</v>
      </c>
      <c r="F25" s="16">
        <v>2385</v>
      </c>
      <c r="G25" s="16">
        <v>223</v>
      </c>
      <c r="H25" s="16">
        <f t="shared" si="0"/>
        <v>18444</v>
      </c>
      <c r="I25" s="17">
        <f t="shared" si="1"/>
        <v>0.12610850911079963</v>
      </c>
      <c r="J25" s="18">
        <v>0.16188002105889801</v>
      </c>
      <c r="K25" s="18">
        <f>IF( 8.01981752646147&gt;0,0.161880021058898 +(0.161880021058898*59.9745919741572),0)</f>
        <v>9.8705682328342821</v>
      </c>
      <c r="L25" s="19">
        <f t="shared" si="2"/>
        <v>5231.7624799691293</v>
      </c>
    </row>
    <row r="26" spans="1:12" ht="22.5" customHeight="1">
      <c r="A26" s="47"/>
      <c r="B26" s="48"/>
      <c r="C26" s="15" t="s">
        <v>57</v>
      </c>
      <c r="D26" s="16">
        <v>9107</v>
      </c>
      <c r="E26" s="16">
        <v>2925</v>
      </c>
      <c r="F26" s="16">
        <v>4983</v>
      </c>
      <c r="G26" s="16">
        <v>3043</v>
      </c>
      <c r="H26" s="16">
        <f t="shared" si="0"/>
        <v>20058</v>
      </c>
      <c r="I26" s="17">
        <f t="shared" si="1"/>
        <v>0.1371440292639568</v>
      </c>
      <c r="J26" s="18">
        <v>0.79942569220411897</v>
      </c>
      <c r="K26" s="18">
        <f>IF( 7.49255087575528&gt;0,0.799425692204119 +(0.799425692204119*38.5451276500454),0)</f>
        <v>31.613391044937789</v>
      </c>
      <c r="L26" s="19">
        <f t="shared" si="2"/>
        <v>96862.004613313416</v>
      </c>
    </row>
    <row r="27" spans="1:12" ht="21.75" customHeight="1">
      <c r="A27" s="33" t="s">
        <v>58</v>
      </c>
      <c r="B27" s="34"/>
      <c r="C27" s="35"/>
      <c r="D27" s="10">
        <v>9395</v>
      </c>
      <c r="E27" s="10">
        <v>2597</v>
      </c>
      <c r="F27" s="10">
        <v>8547</v>
      </c>
      <c r="G27" s="10">
        <v>7443</v>
      </c>
      <c r="H27" s="11">
        <f t="shared" si="0"/>
        <v>27982</v>
      </c>
      <c r="I27" s="12">
        <f t="shared" si="1"/>
        <v>0.1913233735598783</v>
      </c>
      <c r="J27" s="13">
        <v>4.7296447934255204</v>
      </c>
      <c r="K27" s="13">
        <f>IF( 91.7931827212652&gt;0,4.72964479342552 + (4.72964479342552 * 91.7931827212652),0)</f>
        <v>438.87879352301491</v>
      </c>
      <c r="L27" s="14">
        <f t="shared" si="2"/>
        <v>663752.19926244952</v>
      </c>
    </row>
    <row r="28" spans="1:12" ht="22.5" customHeight="1">
      <c r="A28" s="47" t="s">
        <v>59</v>
      </c>
      <c r="B28" s="48"/>
      <c r="C28" s="15" t="s">
        <v>60</v>
      </c>
      <c r="D28" s="16">
        <v>5694</v>
      </c>
      <c r="E28" s="16">
        <v>2473</v>
      </c>
      <c r="F28" s="16">
        <v>6773</v>
      </c>
      <c r="G28" s="16">
        <v>7092</v>
      </c>
      <c r="H28" s="16">
        <f t="shared" si="0"/>
        <v>22032</v>
      </c>
      <c r="I28" s="17">
        <f t="shared" si="1"/>
        <v>0.15064100372636832</v>
      </c>
      <c r="J28" s="18">
        <v>0.477089787124232</v>
      </c>
      <c r="K28" s="18">
        <f>IF( 9.63866664079887&gt;0,0.477089787124232 +(0.477089787124232*54.0486428207013),0)</f>
        <v>26.263145284806267</v>
      </c>
      <c r="L28" s="19">
        <f t="shared" si="2"/>
        <v>47744.766815854557</v>
      </c>
    </row>
    <row r="29" spans="1:12" ht="22.5" customHeight="1">
      <c r="A29" s="47"/>
      <c r="B29" s="48"/>
      <c r="C29" s="15" t="s">
        <v>61</v>
      </c>
      <c r="D29" s="16">
        <v>1879</v>
      </c>
      <c r="E29" s="16">
        <v>3077</v>
      </c>
      <c r="F29" s="16">
        <v>7709</v>
      </c>
      <c r="G29" s="16">
        <v>4683</v>
      </c>
      <c r="H29" s="16">
        <f t="shared" si="0"/>
        <v>17348</v>
      </c>
      <c r="I29" s="17">
        <f t="shared" si="1"/>
        <v>0.11861474821373628</v>
      </c>
      <c r="J29" s="18">
        <v>0.793268829953516</v>
      </c>
      <c r="K29" s="18">
        <f>IF( 1.8228822256545&gt;0,0.793268829953516 +(0.793268829953516*72.130600536303),0)</f>
        <v>58.012225921231057</v>
      </c>
      <c r="L29" s="19">
        <f t="shared" si="2"/>
        <v>98671.53272485148</v>
      </c>
    </row>
    <row r="30" spans="1:12" ht="22.5" customHeight="1">
      <c r="A30" s="47"/>
      <c r="B30" s="48"/>
      <c r="C30" s="15" t="s">
        <v>62</v>
      </c>
      <c r="D30" s="16">
        <v>2947</v>
      </c>
      <c r="E30" s="16">
        <v>783</v>
      </c>
      <c r="F30" s="16">
        <v>1206</v>
      </c>
      <c r="G30" s="16">
        <v>2011</v>
      </c>
      <c r="H30" s="16">
        <f t="shared" si="0"/>
        <v>6947</v>
      </c>
      <c r="I30" s="17">
        <f t="shared" si="1"/>
        <v>4.7499230795528355E-2</v>
      </c>
      <c r="J30" s="18">
        <v>0.31123508201503902</v>
      </c>
      <c r="K30" s="18">
        <f>IF( 4.40160419531241&gt;0,0.311235082015039 +(0.311235082015039*6.84288847578824),0)</f>
        <v>2.4409820379967573</v>
      </c>
      <c r="L30" s="19">
        <f t="shared" si="2"/>
        <v>38572.686920109532</v>
      </c>
    </row>
    <row r="31" spans="1:12" ht="22.5" customHeight="1">
      <c r="A31" s="47"/>
      <c r="B31" s="48"/>
      <c r="C31" s="15" t="s">
        <v>63</v>
      </c>
      <c r="D31" s="16">
        <v>2852</v>
      </c>
      <c r="E31" s="16">
        <v>7296</v>
      </c>
      <c r="F31" s="16">
        <v>1685</v>
      </c>
      <c r="G31" s="16">
        <v>3973</v>
      </c>
      <c r="H31" s="16">
        <f t="shared" si="0"/>
        <v>15806</v>
      </c>
      <c r="I31" s="17">
        <f t="shared" si="1"/>
        <v>0.10807151892243</v>
      </c>
      <c r="J31" s="18">
        <v>0.37231465073875802</v>
      </c>
      <c r="K31" s="18">
        <f>IF( 6.88544718403623&gt;0,0.372314650738758 +(0.372314650738758*32.1336605735746),0)</f>
        <v>12.336147264146986</v>
      </c>
      <c r="L31" s="19">
        <f t="shared" si="2"/>
        <v>38646.879243797055</v>
      </c>
    </row>
    <row r="32" spans="1:12" ht="21.75" customHeight="1">
      <c r="A32" s="33" t="s">
        <v>64</v>
      </c>
      <c r="B32" s="34"/>
      <c r="C32" s="35"/>
      <c r="D32" s="10">
        <v>1417</v>
      </c>
      <c r="E32" s="10">
        <v>5769</v>
      </c>
      <c r="F32" s="10">
        <v>8358</v>
      </c>
      <c r="G32" s="10">
        <v>3078</v>
      </c>
      <c r="H32" s="11">
        <f t="shared" si="0"/>
        <v>18622</v>
      </c>
      <c r="I32" s="12">
        <f t="shared" si="1"/>
        <v>0.1273255615192643</v>
      </c>
      <c r="J32" s="13">
        <v>7.8793639307279904</v>
      </c>
      <c r="K32" s="13">
        <f>IF( 45.2876914969122&gt;0,7.87936393072799 + (7.87936393072799 * 45.2876914969122),0)</f>
        <v>364.71756681743472</v>
      </c>
      <c r="L32" s="14">
        <f t="shared" si="2"/>
        <v>1133774.3716886223</v>
      </c>
    </row>
    <row r="33" spans="1:12" ht="22.5" customHeight="1">
      <c r="A33" s="47" t="s">
        <v>65</v>
      </c>
      <c r="B33" s="48"/>
      <c r="C33" s="15" t="s">
        <v>66</v>
      </c>
      <c r="D33" s="16">
        <v>3449</v>
      </c>
      <c r="E33" s="16">
        <v>4534</v>
      </c>
      <c r="F33" s="16">
        <v>3255</v>
      </c>
      <c r="G33" s="16">
        <v>6362</v>
      </c>
      <c r="H33" s="16">
        <f t="shared" si="0"/>
        <v>17600</v>
      </c>
      <c r="I33" s="17">
        <f t="shared" si="1"/>
        <v>0.12033776623021435</v>
      </c>
      <c r="J33" s="18">
        <v>0.37020873481883099</v>
      </c>
      <c r="K33" s="18">
        <f>IF( 1.04677111890482&gt;0,0.370208734818831 +(0.370208734818831*19.0733177210546),0)</f>
        <v>7.4313175571280432</v>
      </c>
      <c r="L33" s="19">
        <f t="shared" si="2"/>
        <v>36544.878510928123</v>
      </c>
    </row>
    <row r="34" spans="1:12" ht="22.5" customHeight="1">
      <c r="A34" s="47"/>
      <c r="B34" s="48"/>
      <c r="C34" s="15" t="s">
        <v>67</v>
      </c>
      <c r="D34" s="16">
        <v>5334</v>
      </c>
      <c r="E34" s="16">
        <v>3322</v>
      </c>
      <c r="F34" s="16">
        <v>9560</v>
      </c>
      <c r="G34" s="16">
        <v>2039</v>
      </c>
      <c r="H34" s="16">
        <f t="shared" si="0"/>
        <v>20255</v>
      </c>
      <c r="I34" s="17">
        <f t="shared" si="1"/>
        <v>0.13849099176096544</v>
      </c>
      <c r="J34" s="18">
        <v>0.75165847397952301</v>
      </c>
      <c r="K34" s="18">
        <f>IF( 6.23928787942943&gt;0,0.751658473979523 +(0.751658473979523*77.4870735488306),0)</f>
        <v>58.995473930832588</v>
      </c>
      <c r="L34" s="19">
        <f t="shared" si="2"/>
        <v>89678.810111875136</v>
      </c>
    </row>
    <row r="35" spans="1:12" ht="22.5" customHeight="1">
      <c r="A35" s="47"/>
      <c r="B35" s="48"/>
      <c r="C35" s="15" t="s">
        <v>68</v>
      </c>
      <c r="D35" s="16">
        <v>8193</v>
      </c>
      <c r="E35" s="16">
        <v>529</v>
      </c>
      <c r="F35" s="16">
        <v>5424</v>
      </c>
      <c r="G35" s="16">
        <v>3023</v>
      </c>
      <c r="H35" s="16">
        <f t="shared" si="0"/>
        <v>17169</v>
      </c>
      <c r="I35" s="17">
        <f t="shared" si="1"/>
        <v>0.11739085843219035</v>
      </c>
      <c r="J35" s="18">
        <v>0.81070386842391595</v>
      </c>
      <c r="K35" s="18">
        <f>IF( 2.84448401203588&gt;0,0.810703868423916 +(0.810703868423916*51.7222690636861),0)</f>
        <v>42.742147482016868</v>
      </c>
      <c r="L35" s="19">
        <f t="shared" si="2"/>
        <v>101400.49427633983</v>
      </c>
    </row>
    <row r="36" spans="1:12" ht="22.5" customHeight="1">
      <c r="A36" s="47"/>
      <c r="B36" s="48"/>
      <c r="C36" s="15" t="s">
        <v>69</v>
      </c>
      <c r="D36" s="16">
        <v>5097</v>
      </c>
      <c r="E36" s="16">
        <v>3129</v>
      </c>
      <c r="F36" s="16">
        <v>1056</v>
      </c>
      <c r="G36" s="16">
        <v>2760</v>
      </c>
      <c r="H36" s="16">
        <f t="shared" si="0"/>
        <v>12042</v>
      </c>
      <c r="I36" s="17">
        <f t="shared" si="1"/>
        <v>8.2335646644559154E-2</v>
      </c>
      <c r="J36" s="18">
        <v>0.21914982247126699</v>
      </c>
      <c r="K36" s="18">
        <f>IF( 3.99208995233853&gt;0,0.219149822471267 +(0.219149822471267*85.4214908021602),0)</f>
        <v>18.939254366995641</v>
      </c>
      <c r="L36" s="19">
        <f t="shared" si="2"/>
        <v>20009.757285535154</v>
      </c>
    </row>
    <row r="37" spans="1:12" ht="21.75" customHeight="1">
      <c r="A37" s="33" t="s">
        <v>70</v>
      </c>
      <c r="B37" s="34"/>
      <c r="C37" s="35"/>
      <c r="D37" s="10">
        <v>3545</v>
      </c>
      <c r="E37" s="10">
        <v>4262</v>
      </c>
      <c r="F37" s="10">
        <v>3097</v>
      </c>
      <c r="G37" s="10">
        <v>7357</v>
      </c>
      <c r="H37" s="11">
        <f t="shared" si="0"/>
        <v>18261</v>
      </c>
      <c r="I37" s="12">
        <f t="shared" si="1"/>
        <v>0.12485726983692866</v>
      </c>
      <c r="J37" s="13">
        <v>1.8684562583772699</v>
      </c>
      <c r="K37" s="13">
        <f>IF( 33.4784743066311&gt;0,1.86845625837727 + (1.86845625837727 * 33.4784743066311),0)</f>
        <v>64.421521097524774</v>
      </c>
      <c r="L37" s="14">
        <f t="shared" si="2"/>
        <v>255010.07006896759</v>
      </c>
    </row>
    <row r="38" spans="1:12" ht="22.5" customHeight="1">
      <c r="A38" s="47" t="s">
        <v>71</v>
      </c>
      <c r="B38" s="48"/>
      <c r="C38" s="15" t="s">
        <v>72</v>
      </c>
      <c r="D38" s="16">
        <v>8755</v>
      </c>
      <c r="E38" s="16">
        <v>6756</v>
      </c>
      <c r="F38" s="16">
        <v>708</v>
      </c>
      <c r="G38" s="16">
        <v>9637</v>
      </c>
      <c r="H38" s="16">
        <f t="shared" si="0"/>
        <v>25856</v>
      </c>
      <c r="I38" s="17">
        <f t="shared" si="1"/>
        <v>0.1767871183891149</v>
      </c>
      <c r="J38" s="18">
        <v>9.3837170439696499E-2</v>
      </c>
      <c r="K38" s="18">
        <f>IF( 1.96449013518379&gt;0,0.0938371704396965 +(0.0938371704396965*83.6123108787519),0)</f>
        <v>7.9397798372260286</v>
      </c>
      <c r="L38" s="19">
        <f t="shared" si="2"/>
        <v>-12131.844637342188</v>
      </c>
    </row>
    <row r="39" spans="1:12" ht="22.5" customHeight="1">
      <c r="A39" s="47"/>
      <c r="B39" s="48"/>
      <c r="C39" s="15" t="s">
        <v>73</v>
      </c>
      <c r="D39" s="16">
        <v>4413</v>
      </c>
      <c r="E39" s="16">
        <v>1699</v>
      </c>
      <c r="F39" s="16">
        <v>9369</v>
      </c>
      <c r="G39" s="16">
        <v>6977</v>
      </c>
      <c r="H39" s="16">
        <f t="shared" si="0"/>
        <v>22458</v>
      </c>
      <c r="I39" s="17">
        <f t="shared" si="1"/>
        <v>0.15355372465898601</v>
      </c>
      <c r="J39" s="18">
        <v>1.30656575844929E-2</v>
      </c>
      <c r="K39" s="18">
        <f>IF( 6.33667507038297&gt;0,0.0130656575844929 +(0.0130656575844929*53.1924676863442),0)</f>
        <v>0.70806022644846944</v>
      </c>
      <c r="L39" s="19">
        <f t="shared" si="2"/>
        <v>-20547.082249979991</v>
      </c>
    </row>
    <row r="40" spans="1:12" ht="22.5" customHeight="1">
      <c r="A40" s="47"/>
      <c r="B40" s="48"/>
      <c r="C40" s="15" t="s">
        <v>74</v>
      </c>
      <c r="D40" s="16">
        <v>5914</v>
      </c>
      <c r="E40" s="16">
        <v>2717</v>
      </c>
      <c r="F40" s="16">
        <v>244</v>
      </c>
      <c r="G40" s="16">
        <v>174</v>
      </c>
      <c r="H40" s="16">
        <f t="shared" si="0"/>
        <v>9049</v>
      </c>
      <c r="I40" s="17">
        <f t="shared" si="1"/>
        <v>6.187138901234146E-2</v>
      </c>
      <c r="J40" s="18">
        <v>0.47396216470467001</v>
      </c>
      <c r="K40" s="18">
        <f>IF( 8.35002756600735&gt;0,0.47396216470467 +(0.47396216470467*14.0688081803121),0)</f>
        <v>7.1420449446601619</v>
      </c>
      <c r="L40" s="19">
        <f t="shared" si="2"/>
        <v>60270.336398881511</v>
      </c>
    </row>
    <row r="41" spans="1:12" ht="22.5" customHeight="1" thickBot="1">
      <c r="A41" s="33" t="s">
        <v>75</v>
      </c>
      <c r="B41" s="34"/>
      <c r="C41" s="35"/>
      <c r="D41" s="10">
        <v>14322</v>
      </c>
      <c r="E41" s="10">
        <v>9995</v>
      </c>
      <c r="F41" s="10">
        <v>4667</v>
      </c>
      <c r="G41" s="10">
        <v>3442</v>
      </c>
      <c r="H41" s="11">
        <f t="shared" si="0"/>
        <v>32426</v>
      </c>
      <c r="I41" s="12"/>
      <c r="J41" s="13"/>
      <c r="K41" s="13">
        <f>IF( 36.055730998542&gt;0,2.20116829136441 + 2.20116829136441 * 15.1058912347564,0)</f>
        <v>35.451777090109772</v>
      </c>
      <c r="L41" s="14"/>
    </row>
    <row r="42" spans="1:12" ht="22.5" customHeight="1">
      <c r="A42" s="33" t="s">
        <v>76</v>
      </c>
      <c r="B42" s="34"/>
      <c r="C42" s="35"/>
      <c r="D42" s="10">
        <v>5933</v>
      </c>
      <c r="E42" s="10">
        <v>13050</v>
      </c>
      <c r="F42" s="10">
        <v>17658</v>
      </c>
      <c r="G42" s="10">
        <v>2872</v>
      </c>
      <c r="H42" s="11">
        <f t="shared" si="0"/>
        <v>39513</v>
      </c>
      <c r="I42" s="12"/>
      <c r="J42" s="13"/>
      <c r="K42" s="13">
        <f>IF( 33.6518269188943&gt;0,7.05468116656629 + 7.05468116656629 * 34.6111144566029,0)</f>
        <v>251.22505847743301</v>
      </c>
      <c r="L42" s="14"/>
    </row>
    <row r="43" spans="1:12" ht="22.5" customHeight="1">
      <c r="A43" s="33" t="s">
        <v>77</v>
      </c>
      <c r="B43" s="34"/>
      <c r="C43" s="35"/>
      <c r="D43" s="10">
        <v>14759</v>
      </c>
      <c r="E43" s="10">
        <v>3674</v>
      </c>
      <c r="F43" s="10">
        <v>11435</v>
      </c>
      <c r="G43" s="10">
        <v>7565</v>
      </c>
      <c r="H43" s="11">
        <f t="shared" si="0"/>
        <v>37433</v>
      </c>
      <c r="I43" s="12"/>
      <c r="J43" s="13"/>
      <c r="K43" s="13">
        <f>IF( 73.5425582032383&gt;0,9.96819677295545 + 9.96819677295545 * 85.5095433935102,0)</f>
        <v>862.34415128503781</v>
      </c>
      <c r="L43" s="14"/>
    </row>
    <row r="44" spans="1:12" ht="22.5" customHeight="1">
      <c r="A44" s="33" t="s">
        <v>78</v>
      </c>
      <c r="B44" s="34"/>
      <c r="C44" s="35"/>
      <c r="D44" s="10">
        <v>4962</v>
      </c>
      <c r="E44" s="10">
        <v>10031</v>
      </c>
      <c r="F44" s="10">
        <v>11455</v>
      </c>
      <c r="G44" s="10">
        <v>10435</v>
      </c>
      <c r="H44" s="11">
        <f t="shared" si="0"/>
        <v>36883</v>
      </c>
      <c r="I44" s="12"/>
      <c r="J44" s="13"/>
      <c r="K44" s="13">
        <f>IF( 32.1110604014765&gt;0,3.31253189282144 + 3.31253189282144 * 4.17850953721372,0)</f>
        <v>17.153977999300441</v>
      </c>
      <c r="L44" s="14"/>
    </row>
    <row r="45" spans="1:12" ht="20.100000000000001" customHeight="1" thickBot="1">
      <c r="A45" s="36" t="s">
        <v>4</v>
      </c>
      <c r="B45" s="37"/>
      <c r="C45" s="38"/>
      <c r="D45" s="20">
        <f>SUM(D41:D44)</f>
        <v>39976</v>
      </c>
      <c r="E45" s="20">
        <f>SUM(E41:E44)</f>
        <v>36750</v>
      </c>
      <c r="F45" s="20">
        <f>SUM(F41:F44)</f>
        <v>45215</v>
      </c>
      <c r="G45" s="20">
        <f>SUM(G41:G44)</f>
        <v>24314</v>
      </c>
      <c r="H45" s="21">
        <f t="shared" si="0"/>
        <v>146255</v>
      </c>
      <c r="I45" s="22">
        <f>SUM(I8:I40)</f>
        <v>3.8161020136063732</v>
      </c>
      <c r="J45" s="23"/>
      <c r="K45" s="23"/>
      <c r="L45" s="24"/>
    </row>
    <row r="46" spans="1:12" ht="20.100000000000001" customHeight="1" thickBot="1">
      <c r="A46" s="42" t="s">
        <v>5</v>
      </c>
      <c r="B46" s="43"/>
      <c r="C46" s="44"/>
      <c r="D46" s="25">
        <f>D45/H45</f>
        <v>0.27333082629653688</v>
      </c>
      <c r="E46" s="25">
        <f>E45/H45</f>
        <v>0.25127346073638507</v>
      </c>
      <c r="F46" s="25">
        <f>F45/H45</f>
        <v>0.30915182386926943</v>
      </c>
      <c r="G46" s="25">
        <f>G45/H45</f>
        <v>0.16624388909780863</v>
      </c>
      <c r="H46" s="26"/>
      <c r="I46" s="25"/>
      <c r="J46" s="25"/>
      <c r="K46" s="25"/>
      <c r="L46" s="25"/>
    </row>
    <row r="47" spans="1:12" s="3" customFormat="1" ht="11.25" customHeight="1">
      <c r="A47" s="45"/>
      <c r="B47" s="45"/>
      <c r="C47" s="45"/>
      <c r="D47" s="45"/>
      <c r="E47" s="31"/>
      <c r="F47" s="31"/>
      <c r="G47" s="31"/>
    </row>
    <row r="48" spans="1:12" s="3" customFormat="1" ht="11.25" customHeight="1" thickBot="1">
      <c r="A48" s="46"/>
      <c r="B48" s="46"/>
      <c r="C48" s="46"/>
      <c r="D48" s="46"/>
      <c r="E48" s="32"/>
      <c r="F48" s="32"/>
      <c r="G48" s="32"/>
    </row>
    <row r="49" spans="1:12" ht="20.100000000000001" customHeight="1" thickBot="1">
      <c r="A49" s="39" t="s">
        <v>10</v>
      </c>
      <c r="B49" s="40"/>
      <c r="C49" s="41"/>
      <c r="D49" s="27">
        <v>6733</v>
      </c>
      <c r="E49" s="27">
        <v>8616</v>
      </c>
      <c r="F49" s="27">
        <v>8741</v>
      </c>
      <c r="G49" s="27">
        <v>1484</v>
      </c>
      <c r="H49" s="28">
        <f>SUM(D49:G49)</f>
        <v>25574</v>
      </c>
      <c r="I49" s="29"/>
      <c r="J49" s="30"/>
      <c r="K49" s="30"/>
      <c r="L49" s="30"/>
    </row>
    <row r="50" spans="1:12" ht="20.100000000000001" customHeight="1" thickBot="1">
      <c r="A50" s="39" t="s">
        <v>6</v>
      </c>
      <c r="B50" s="40"/>
      <c r="C50" s="41"/>
      <c r="D50" s="27">
        <v>5963</v>
      </c>
      <c r="E50" s="27">
        <v>3387</v>
      </c>
      <c r="F50" s="27">
        <v>7211</v>
      </c>
      <c r="G50" s="27">
        <v>8663</v>
      </c>
      <c r="H50" s="28">
        <f>SUM(D50:G50)</f>
        <v>25224</v>
      </c>
      <c r="I50" s="29"/>
      <c r="J50" s="30"/>
      <c r="K50" s="30"/>
      <c r="L50" s="30"/>
    </row>
    <row r="51" spans="1:12" ht="20.100000000000001" customHeight="1" thickBot="1">
      <c r="A51" s="39" t="s">
        <v>9</v>
      </c>
      <c r="B51" s="40"/>
      <c r="C51" s="41"/>
      <c r="D51" s="27">
        <v>4039</v>
      </c>
      <c r="E51" s="27">
        <v>9928</v>
      </c>
      <c r="F51" s="27">
        <v>2678</v>
      </c>
      <c r="G51" s="27">
        <v>7826</v>
      </c>
      <c r="H51" s="28">
        <f>SUM(D51:G51)</f>
        <v>24471</v>
      </c>
      <c r="I51" s="29"/>
      <c r="J51" s="30"/>
      <c r="K51" s="30"/>
      <c r="L51" s="30"/>
    </row>
  </sheetData>
  <mergeCells count="35">
    <mergeCell ref="A38:B40"/>
    <mergeCell ref="A42:C42"/>
    <mergeCell ref="A43:C43"/>
    <mergeCell ref="A44:C44"/>
    <mergeCell ref="A27:C27"/>
    <mergeCell ref="A28:B31"/>
    <mergeCell ref="A32:C32"/>
    <mergeCell ref="A33:B36"/>
    <mergeCell ref="A37:C37"/>
    <mergeCell ref="J5:J7"/>
    <mergeCell ref="K5:K7"/>
    <mergeCell ref="L5:L7"/>
    <mergeCell ref="A1:C1"/>
    <mergeCell ref="A10:C10"/>
    <mergeCell ref="H3:I3"/>
    <mergeCell ref="E1:I1"/>
    <mergeCell ref="A5:C7"/>
    <mergeCell ref="H5:H7"/>
    <mergeCell ref="I5:I7"/>
    <mergeCell ref="A8:C8"/>
    <mergeCell ref="A45:C45"/>
    <mergeCell ref="A49:C49"/>
    <mergeCell ref="A50:C50"/>
    <mergeCell ref="A51:C51"/>
    <mergeCell ref="A46:C46"/>
    <mergeCell ref="A41:C41"/>
    <mergeCell ref="A47:D48"/>
    <mergeCell ref="A9:B9"/>
    <mergeCell ref="A11:B13"/>
    <mergeCell ref="A14:C14"/>
    <mergeCell ref="A15:B18"/>
    <mergeCell ref="A19:C19"/>
    <mergeCell ref="A20:B21"/>
    <mergeCell ref="A22:C22"/>
    <mergeCell ref="A23:B26"/>
  </mergeCells>
  <printOptions horizontalCentered="1"/>
  <pageMargins left="0" right="0" top="0" bottom="0.5" header="0.5" footer="0.25"/>
  <pageSetup scale="67" fitToWidth="0" fitToHeight="0" orientation="landscape" cellComments="asDisplayed" r:id="rId1"/>
  <headerFooter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"/>
  <sheetViews>
    <sheetView workbookViewId="0">
      <selection sqref="A1:C1"/>
    </sheetView>
  </sheetViews>
  <sheetFormatPr defaultRowHeight="12.75"/>
  <cols>
    <col min="1" max="1" width="16" customWidth="1"/>
    <col min="2" max="2" width="11" customWidth="1"/>
    <col min="3" max="3" width="11" hidden="1" customWidth="1"/>
    <col min="4" max="4" width="12.140625" customWidth="1"/>
    <col min="5" max="5" width="9.7109375" customWidth="1"/>
    <col min="6" max="6" width="17.140625" customWidth="1"/>
    <col min="7" max="7" width="13" customWidth="1"/>
    <col min="8" max="8" width="10.85546875" hidden="1" customWidth="1"/>
    <col min="9" max="9" width="16.7109375" customWidth="1"/>
  </cols>
  <sheetData>
    <row r="1" spans="1:9">
      <c r="A1" s="2" t="s">
        <v>11</v>
      </c>
      <c r="B1" s="2" t="s">
        <v>12</v>
      </c>
      <c r="C1" s="2" t="s">
        <v>19</v>
      </c>
      <c r="D1" s="2" t="s">
        <v>13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</row>
    <row r="2" spans="1:9">
      <c r="A2" s="2" t="s">
        <v>79</v>
      </c>
      <c r="B2" s="2" t="s">
        <v>80</v>
      </c>
      <c r="C2" s="2"/>
      <c r="D2" s="2">
        <v>400</v>
      </c>
      <c r="E2" s="2">
        <v>300</v>
      </c>
      <c r="F2" s="2">
        <v>25</v>
      </c>
      <c r="G2" s="2">
        <v>25</v>
      </c>
      <c r="H2" s="2"/>
      <c r="I2" s="2">
        <v>160</v>
      </c>
    </row>
    <row r="3" spans="1:9">
      <c r="A3" s="2" t="s">
        <v>81</v>
      </c>
      <c r="B3" s="2" t="s">
        <v>80</v>
      </c>
      <c r="C3" s="2"/>
      <c r="D3" s="2">
        <v>100</v>
      </c>
      <c r="E3" s="2">
        <v>100</v>
      </c>
      <c r="F3" s="2">
        <v>0</v>
      </c>
      <c r="G3" s="2">
        <v>0</v>
      </c>
      <c r="H3" s="2"/>
      <c r="I3" s="2">
        <v>50</v>
      </c>
    </row>
    <row r="4" spans="1:9">
      <c r="A4" s="2" t="s">
        <v>82</v>
      </c>
      <c r="B4" s="2" t="s">
        <v>83</v>
      </c>
      <c r="C4" s="2"/>
      <c r="D4" s="2">
        <v>50</v>
      </c>
      <c r="E4" s="2">
        <v>25</v>
      </c>
      <c r="F4" s="2">
        <v>16</v>
      </c>
      <c r="G4" s="2">
        <v>0</v>
      </c>
      <c r="H4" s="2"/>
      <c r="I4" s="2">
        <v>24</v>
      </c>
    </row>
    <row r="5" spans="1:9">
      <c r="A5" s="2" t="s">
        <v>84</v>
      </c>
      <c r="B5" s="2" t="s">
        <v>83</v>
      </c>
      <c r="C5" s="2"/>
      <c r="D5" s="2">
        <v>25</v>
      </c>
      <c r="E5" s="2">
        <v>75</v>
      </c>
      <c r="F5" s="2">
        <v>10</v>
      </c>
      <c r="G5" s="2">
        <v>10</v>
      </c>
      <c r="H5" s="2"/>
      <c r="I5" s="2">
        <v>50</v>
      </c>
    </row>
    <row r="6" spans="1:9">
      <c r="A6" s="2" t="s">
        <v>85</v>
      </c>
      <c r="B6" s="2" t="s">
        <v>83</v>
      </c>
      <c r="C6" s="2"/>
      <c r="D6" s="2">
        <v>50</v>
      </c>
      <c r="E6" s="2">
        <v>0</v>
      </c>
      <c r="F6" s="2">
        <v>6</v>
      </c>
      <c r="G6" s="2">
        <v>6</v>
      </c>
      <c r="H6" s="2"/>
      <c r="I6" s="2">
        <v>24</v>
      </c>
    </row>
    <row r="7" spans="1:9">
      <c r="A7" s="2" t="s">
        <v>86</v>
      </c>
      <c r="B7" s="2" t="s">
        <v>87</v>
      </c>
      <c r="C7" s="2"/>
      <c r="D7" s="2">
        <v>75</v>
      </c>
      <c r="E7" s="2">
        <v>0</v>
      </c>
      <c r="F7" s="2">
        <v>20</v>
      </c>
      <c r="G7" s="2">
        <v>0</v>
      </c>
      <c r="H7" s="2"/>
      <c r="I7" s="2">
        <v>30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Report</vt:lpstr>
      <vt:lpstr>Terran units</vt:lpstr>
      <vt:lpstr>Groups</vt:lpstr>
      <vt:lpstr>Items</vt:lpstr>
      <vt:lpstr>temp_range_0</vt:lpstr>
      <vt:lpstr>temp_range_1</vt:lpstr>
      <vt:lpstr>temp_range_10</vt:lpstr>
      <vt:lpstr>temp_range_11</vt:lpstr>
      <vt:lpstr>temp_range_12</vt:lpstr>
      <vt:lpstr>temp_range_13</vt:lpstr>
      <vt:lpstr>temp_range_14</vt:lpstr>
      <vt:lpstr>temp_range_15</vt:lpstr>
      <vt:lpstr>temp_range_16</vt:lpstr>
      <vt:lpstr>temp_range_17</vt:lpstr>
      <vt:lpstr>temp_range_18</vt:lpstr>
      <vt:lpstr>temp_range_19</vt:lpstr>
      <vt:lpstr>temp_range_2</vt:lpstr>
      <vt:lpstr>temp_range_20</vt:lpstr>
      <vt:lpstr>temp_range_21</vt:lpstr>
      <vt:lpstr>temp_range_22</vt:lpstr>
      <vt:lpstr>temp_range_23</vt:lpstr>
      <vt:lpstr>temp_range_24</vt:lpstr>
      <vt:lpstr>temp_range_25</vt:lpstr>
      <vt:lpstr>temp_range_26</vt:lpstr>
      <vt:lpstr>temp_range_27</vt:lpstr>
      <vt:lpstr>temp_range_28</vt:lpstr>
      <vt:lpstr>temp_range_29</vt:lpstr>
      <vt:lpstr>temp_range_3</vt:lpstr>
      <vt:lpstr>temp_range_30</vt:lpstr>
      <vt:lpstr>temp_range_31</vt:lpstr>
      <vt:lpstr>temp_range_32</vt:lpstr>
      <vt:lpstr>temp_range_33</vt:lpstr>
      <vt:lpstr>temp_range_4</vt:lpstr>
      <vt:lpstr>temp_range_5</vt:lpstr>
      <vt:lpstr>temp_range_6</vt:lpstr>
      <vt:lpstr>temp_range_7</vt:lpstr>
      <vt:lpstr>temp_range_8</vt:lpstr>
      <vt:lpstr>temp_range_9</vt:lpstr>
      <vt:lpstr>Total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cp:lastPrinted>2012-09-19T09:26:29Z</cp:lastPrinted>
  <dcterms:created xsi:type="dcterms:W3CDTF">2010-11-04T17:27:48Z</dcterms:created>
  <dcterms:modified xsi:type="dcterms:W3CDTF">2020-01-17T19:05:18Z</dcterms:modified>
</cp:coreProperties>
</file>