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codeName="ThisWorkbook" defaultThemeVersion="166925"/>
  <mc:AlternateContent xmlns:mc="http://schemas.openxmlformats.org/markup-compatibility/2006">
    <mc:Choice Requires="x15">
      <x15ac:absPath xmlns:x15ac="http://schemas.microsoft.com/office/spreadsheetml/2010/11/ac" url="/Users/amy/Documents/RSM333/Group Project/"/>
    </mc:Choice>
  </mc:AlternateContent>
  <xr:revisionPtr revIDLastSave="0" documentId="8_{343BB1F5-057F-8648-8EFE-344BFD64D5E3}" xr6:coauthVersionLast="47" xr6:coauthVersionMax="47" xr10:uidLastSave="{00000000-0000-0000-0000-000000000000}"/>
  <bookViews>
    <workbookView xWindow="14820" yWindow="500" windowWidth="13980" windowHeight="16020" xr2:uid="{58A11C1D-5391-4043-8E3F-0FDECA29CBB1}"/>
  </bookViews>
  <sheets>
    <sheet name="Cover Page" sheetId="20" r:id="rId1"/>
    <sheet name="Assumptions Explanation" sheetId="13" r:id="rId2"/>
    <sheet name="Inputs" sheetId="3" r:id="rId3"/>
    <sheet name="Historical Analysis" sheetId="15" r:id="rId4"/>
    <sheet name="Revenue Model" sheetId="8" r:id="rId5"/>
    <sheet name="DCF Valuation" sheetId="14" r:id="rId6"/>
    <sheet name="Comparables" sheetId="1" r:id="rId7"/>
    <sheet name="BDX-USA" sheetId="16" r:id="rId8"/>
    <sheet name="Cost of Debt" sheetId="17" r:id="rId9"/>
    <sheet name="Cost of Equity" sheetId="18" r:id="rId10"/>
    <sheet name="WACC" sheetId="19" r:id="rId11"/>
    <sheet name="Income Statement" sheetId="9" r:id="rId12"/>
    <sheet name="Balance Sheet" sheetId="10" r:id="rId13"/>
    <sheet name="Cash Flow Statement" sheetId="11" r:id="rId14"/>
    <sheet name="Segments " sheetId="12" r:id="rId15"/>
  </sheets>
  <definedNames>
    <definedName name="_xlnm._FilterDatabase" localSheetId="9" hidden="1">'Cost of Equity'!$J$1:$Q$68</definedName>
    <definedName name="solver_adj" localSheetId="5" hidden="1">'DCF Valuation'!$B$5:$C$5</definedName>
    <definedName name="solver_eng" localSheetId="5" hidden="1">2</definedName>
    <definedName name="solver_lhs1" localSheetId="5" hidden="1">'DCF Valuation'!$D$11</definedName>
    <definedName name="solver_lhs2" localSheetId="5" hidden="1">'DCF Valuation'!$D$8:$D$10</definedName>
    <definedName name="solver_lin" localSheetId="5" hidden="1">1</definedName>
    <definedName name="solver_neg" localSheetId="5" hidden="1">1</definedName>
    <definedName name="solver_num" localSheetId="5" hidden="1">2</definedName>
    <definedName name="solver_opt" localSheetId="5" hidden="1">'DCF Valuation'!$D$6</definedName>
    <definedName name="solver_rel1" localSheetId="5" hidden="1">3</definedName>
    <definedName name="solver_rel2" localSheetId="5" hidden="1">1</definedName>
    <definedName name="solver_rhs1" localSheetId="5" hidden="1">'DCF Valuation'!$F$11</definedName>
    <definedName name="solver_rhs2" localSheetId="5" hidden="1">'DCF Valuation'!$F$8:$F$10</definedName>
    <definedName name="solver_typ" localSheetId="5" hidden="1">1</definedName>
    <definedName name="solver_val" localSheetId="5" hidden="1">0</definedName>
    <definedName name="solver_ver" localSheetId="5"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7" i="3" l="1"/>
  <c r="K37" i="3"/>
  <c r="L37" i="3"/>
  <c r="M37" i="3"/>
  <c r="I37" i="3"/>
  <c r="J48" i="3"/>
  <c r="K48" i="3"/>
  <c r="L48" i="3"/>
  <c r="M48" i="3"/>
  <c r="I48" i="3"/>
  <c r="J47" i="3"/>
  <c r="K47" i="3"/>
  <c r="L47" i="3"/>
  <c r="M47" i="3"/>
  <c r="I47" i="3"/>
  <c r="M36" i="3"/>
  <c r="J36" i="3"/>
  <c r="K36" i="3"/>
  <c r="L36" i="3"/>
  <c r="I36" i="3"/>
  <c r="I11" i="8"/>
  <c r="J8" i="8"/>
  <c r="I8" i="8"/>
  <c r="I38" i="3"/>
  <c r="C75" i="14"/>
  <c r="E5" i="19"/>
  <c r="E7" i="19"/>
  <c r="J5" i="8"/>
  <c r="K5" i="8"/>
  <c r="L5" i="8"/>
  <c r="M5" i="8"/>
  <c r="I5" i="8"/>
  <c r="I24" i="3"/>
  <c r="J24" i="3"/>
  <c r="K24" i="3"/>
  <c r="L24" i="3"/>
  <c r="M24" i="3"/>
  <c r="X24" i="18"/>
  <c r="C8" i="14"/>
  <c r="C7" i="14"/>
  <c r="C6" i="14"/>
  <c r="J23" i="3"/>
  <c r="K23" i="3"/>
  <c r="L23" i="3"/>
  <c r="M23" i="3"/>
  <c r="I23" i="3"/>
  <c r="L31" i="15"/>
  <c r="J31" i="15"/>
  <c r="D31" i="15"/>
  <c r="E31" i="15"/>
  <c r="M26" i="3"/>
  <c r="L26" i="3"/>
  <c r="K26" i="3"/>
  <c r="J26" i="3"/>
  <c r="I26" i="3"/>
  <c r="H26" i="3"/>
  <c r="K31" i="15"/>
  <c r="F31" i="15"/>
  <c r="G31" i="15"/>
  <c r="H31" i="15"/>
  <c r="K8" i="8"/>
  <c r="L8" i="8"/>
  <c r="M8" i="8"/>
  <c r="B5" i="19"/>
  <c r="B7" i="19"/>
  <c r="C52" i="14"/>
  <c r="C48" i="14"/>
  <c r="C4" i="14" a="1"/>
  <c r="C4" i="14" s="1"/>
  <c r="C76" i="14"/>
  <c r="E22" i="14"/>
  <c r="F22" i="14"/>
  <c r="G22" i="14"/>
  <c r="H22" i="14"/>
  <c r="D22" i="14"/>
  <c r="C2" i="3"/>
  <c r="C12" i="3" s="1"/>
  <c r="B10" i="3" l="1"/>
  <c r="M18" i="3"/>
  <c r="L18" i="3"/>
  <c r="K18" i="3"/>
  <c r="J18" i="3"/>
  <c r="I18" i="3"/>
  <c r="H40" i="17"/>
  <c r="H9" i="17"/>
  <c r="H10" i="17"/>
  <c r="B1" i="19"/>
  <c r="E3" i="19" s="1"/>
  <c r="S61" i="18"/>
  <c r="H61" i="18"/>
  <c r="S60" i="18"/>
  <c r="H60" i="18"/>
  <c r="S59" i="18"/>
  <c r="H59" i="18"/>
  <c r="S58" i="18"/>
  <c r="H58" i="18"/>
  <c r="S57" i="18"/>
  <c r="H57" i="18"/>
  <c r="S56" i="18"/>
  <c r="H56" i="18"/>
  <c r="S55" i="18"/>
  <c r="H55" i="18"/>
  <c r="S54" i="18"/>
  <c r="H54" i="18"/>
  <c r="S53" i="18"/>
  <c r="H53" i="18"/>
  <c r="S52" i="18"/>
  <c r="H52" i="18"/>
  <c r="S51" i="18"/>
  <c r="H51" i="18"/>
  <c r="S50" i="18"/>
  <c r="H50" i="18"/>
  <c r="S49" i="18"/>
  <c r="H49" i="18"/>
  <c r="S48" i="18"/>
  <c r="H48" i="18"/>
  <c r="S47" i="18"/>
  <c r="H47" i="18"/>
  <c r="S46" i="18"/>
  <c r="H46" i="18"/>
  <c r="S45" i="18"/>
  <c r="H45" i="18"/>
  <c r="S44" i="18"/>
  <c r="H44" i="18"/>
  <c r="S43" i="18"/>
  <c r="H43" i="18"/>
  <c r="S42" i="18"/>
  <c r="H42" i="18"/>
  <c r="S41" i="18"/>
  <c r="H41" i="18"/>
  <c r="S40" i="18"/>
  <c r="H40" i="18"/>
  <c r="S39" i="18"/>
  <c r="H39" i="18"/>
  <c r="S38" i="18"/>
  <c r="H38" i="18"/>
  <c r="S37" i="18"/>
  <c r="H37" i="18"/>
  <c r="S36" i="18"/>
  <c r="H36" i="18"/>
  <c r="S35" i="18"/>
  <c r="H35" i="18"/>
  <c r="S34" i="18"/>
  <c r="H34" i="18"/>
  <c r="S33" i="18"/>
  <c r="H33" i="18"/>
  <c r="S32" i="18"/>
  <c r="H32" i="18"/>
  <c r="S31" i="18"/>
  <c r="H31" i="18"/>
  <c r="S30" i="18"/>
  <c r="H30" i="18"/>
  <c r="S29" i="18"/>
  <c r="H29" i="18"/>
  <c r="S28" i="18"/>
  <c r="H28" i="18"/>
  <c r="S27" i="18"/>
  <c r="H27" i="18"/>
  <c r="S26" i="18"/>
  <c r="H26" i="18"/>
  <c r="S25" i="18"/>
  <c r="H25" i="18"/>
  <c r="S24" i="18"/>
  <c r="H24" i="18"/>
  <c r="S23" i="18"/>
  <c r="H23" i="18"/>
  <c r="S22" i="18"/>
  <c r="H22" i="18"/>
  <c r="S21" i="18"/>
  <c r="H21" i="18"/>
  <c r="S20" i="18"/>
  <c r="H20" i="18"/>
  <c r="S19" i="18"/>
  <c r="H19" i="18"/>
  <c r="S18" i="18"/>
  <c r="H18" i="18"/>
  <c r="S17" i="18"/>
  <c r="H17" i="18"/>
  <c r="S16" i="18"/>
  <c r="H16" i="18"/>
  <c r="S15" i="18"/>
  <c r="H15" i="18"/>
  <c r="S14" i="18"/>
  <c r="H14" i="18"/>
  <c r="S13" i="18"/>
  <c r="H13" i="18"/>
  <c r="S12" i="18"/>
  <c r="H12" i="18"/>
  <c r="S11" i="18"/>
  <c r="H11" i="18"/>
  <c r="S10" i="18"/>
  <c r="H10" i="18"/>
  <c r="S9" i="18"/>
  <c r="H9" i="18"/>
  <c r="S8" i="18"/>
  <c r="H8" i="18"/>
  <c r="S7" i="18"/>
  <c r="H7" i="18"/>
  <c r="S6" i="18"/>
  <c r="H6" i="18"/>
  <c r="S5" i="18"/>
  <c r="H5" i="18"/>
  <c r="S4" i="18"/>
  <c r="H4" i="18"/>
  <c r="S3" i="18"/>
  <c r="H3" i="18"/>
  <c r="S2" i="18"/>
  <c r="H2" i="18"/>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39" i="17" s="1"/>
  <c r="E6" i="17"/>
  <c r="E40" i="17" s="1"/>
  <c r="E41" i="17" s="1"/>
  <c r="E1" i="19" l="1"/>
  <c r="C11" i="14" s="1"/>
  <c r="F13" i="17"/>
  <c r="H13" i="17" s="1"/>
  <c r="F14" i="17"/>
  <c r="H14" i="17" s="1"/>
  <c r="F22" i="17"/>
  <c r="H22" i="17" s="1"/>
  <c r="F30" i="17"/>
  <c r="H30" i="17" s="1"/>
  <c r="F15" i="17"/>
  <c r="H15" i="17" s="1"/>
  <c r="F23" i="17"/>
  <c r="H23" i="17" s="1"/>
  <c r="F31" i="17"/>
  <c r="H31" i="17" s="1"/>
  <c r="F35" i="17"/>
  <c r="H35" i="17" s="1"/>
  <c r="F27" i="17"/>
  <c r="H27" i="17" s="1"/>
  <c r="F19" i="17"/>
  <c r="H19" i="17" s="1"/>
  <c r="F11" i="17"/>
  <c r="H11" i="17" s="1"/>
  <c r="F9" i="17"/>
  <c r="F33" i="17"/>
  <c r="H33" i="17" s="1"/>
  <c r="F25" i="17"/>
  <c r="H25" i="17" s="1"/>
  <c r="F17" i="17"/>
  <c r="H17" i="17" s="1"/>
  <c r="F24" i="17"/>
  <c r="H24" i="17" s="1"/>
  <c r="F10" i="17"/>
  <c r="F29" i="17"/>
  <c r="H29" i="17" s="1"/>
  <c r="F16" i="17"/>
  <c r="H16" i="17" s="1"/>
  <c r="F32" i="17"/>
  <c r="H32" i="17" s="1"/>
  <c r="F34" i="17"/>
  <c r="H34" i="17" s="1"/>
  <c r="F21" i="17"/>
  <c r="H21" i="17" s="1"/>
  <c r="F18" i="17"/>
  <c r="H18" i="17" s="1"/>
  <c r="F26" i="17"/>
  <c r="H26" i="17" s="1"/>
  <c r="F12" i="17"/>
  <c r="H12" i="17" s="1"/>
  <c r="F20" i="17"/>
  <c r="H20" i="17" s="1"/>
  <c r="F28" i="17"/>
  <c r="H28" i="17" s="1"/>
  <c r="F36" i="17"/>
  <c r="H36" i="17" s="1"/>
  <c r="F6" i="17"/>
  <c r="J11" i="8"/>
  <c r="K11" i="8"/>
  <c r="L11" i="8"/>
  <c r="M11" i="8"/>
  <c r="C42" i="14"/>
  <c r="D22" i="3"/>
  <c r="D12" i="3" s="1"/>
  <c r="E10" i="3"/>
  <c r="F10" i="3" s="1"/>
  <c r="G10" i="3" s="1"/>
  <c r="H10" i="3" s="1"/>
  <c r="I10" i="3" s="1"/>
  <c r="J10" i="3" s="1"/>
  <c r="K10" i="3" s="1"/>
  <c r="L10" i="3" s="1"/>
  <c r="M10" i="3" s="1"/>
  <c r="H6" i="17" l="1"/>
  <c r="F39" i="17"/>
  <c r="D29" i="8"/>
  <c r="J29" i="8"/>
  <c r="C78" i="14"/>
  <c r="C67" i="14"/>
  <c r="C66" i="14"/>
  <c r="C69" i="14"/>
  <c r="G10" i="8"/>
  <c r="H25" i="8"/>
  <c r="G25" i="8"/>
  <c r="F25" i="8"/>
  <c r="E25" i="8"/>
  <c r="H22" i="8"/>
  <c r="G22" i="8"/>
  <c r="F22" i="8"/>
  <c r="E22" i="8"/>
  <c r="D22" i="8"/>
  <c r="C22" i="8"/>
  <c r="H19" i="8"/>
  <c r="G19" i="8"/>
  <c r="F19" i="8"/>
  <c r="E19" i="8"/>
  <c r="D19" i="8"/>
  <c r="C19" i="8"/>
  <c r="C68" i="14" l="1"/>
  <c r="C70" i="14" s="1"/>
  <c r="C28" i="8"/>
  <c r="H23" i="8"/>
  <c r="C72" i="14" l="1"/>
  <c r="H10" i="8"/>
  <c r="C49" i="14"/>
  <c r="N32" i="14"/>
  <c r="M32" i="14"/>
  <c r="L32" i="14"/>
  <c r="K32" i="14"/>
  <c r="J32" i="14"/>
  <c r="D17" i="15"/>
  <c r="D28" i="3" s="1"/>
  <c r="D18" i="3" s="1"/>
  <c r="E17" i="15"/>
  <c r="E28" i="3" s="1"/>
  <c r="E18" i="3" s="1"/>
  <c r="F17" i="15"/>
  <c r="F38" i="3" s="1"/>
  <c r="G17" i="15"/>
  <c r="G38" i="3" s="1"/>
  <c r="H17" i="15"/>
  <c r="H38" i="3" s="1"/>
  <c r="C17" i="15"/>
  <c r="C49" i="3" s="1"/>
  <c r="D28" i="15"/>
  <c r="E28" i="15"/>
  <c r="F28" i="15"/>
  <c r="G28" i="15"/>
  <c r="H28" i="15"/>
  <c r="C28" i="15"/>
  <c r="D25" i="15"/>
  <c r="E25" i="15"/>
  <c r="F25" i="15"/>
  <c r="G25" i="15"/>
  <c r="H25" i="15"/>
  <c r="C25" i="15"/>
  <c r="D20" i="15"/>
  <c r="E20" i="15"/>
  <c r="F20" i="15"/>
  <c r="G20" i="15"/>
  <c r="H20" i="15"/>
  <c r="H22" i="15" s="1"/>
  <c r="C20" i="15"/>
  <c r="D13" i="15"/>
  <c r="E13" i="15"/>
  <c r="F13" i="15"/>
  <c r="G13" i="15"/>
  <c r="H13" i="15"/>
  <c r="C13" i="15"/>
  <c r="D10" i="15"/>
  <c r="E10" i="15"/>
  <c r="E11" i="15" s="1"/>
  <c r="E34" i="3" s="1"/>
  <c r="F10" i="15"/>
  <c r="G10" i="15"/>
  <c r="H10" i="15"/>
  <c r="C10" i="15"/>
  <c r="D7" i="15"/>
  <c r="D8" i="15" s="1"/>
  <c r="D23" i="3" s="1"/>
  <c r="D13" i="3" s="1"/>
  <c r="E7" i="15"/>
  <c r="F7" i="15"/>
  <c r="F9" i="15" s="1"/>
  <c r="G7" i="15"/>
  <c r="H7" i="15"/>
  <c r="H9" i="15" s="1"/>
  <c r="C7" i="15"/>
  <c r="D5" i="15"/>
  <c r="E5" i="15"/>
  <c r="F5" i="15"/>
  <c r="F6" i="15" s="1"/>
  <c r="G5" i="15"/>
  <c r="G6" i="15" s="1"/>
  <c r="H5" i="15"/>
  <c r="C5" i="15"/>
  <c r="E2" i="15"/>
  <c r="F2" i="15" s="1"/>
  <c r="G2" i="15" s="1"/>
  <c r="H2" i="15" s="1"/>
  <c r="F20" i="14"/>
  <c r="G20" i="14" s="1"/>
  <c r="H20" i="14" s="1"/>
  <c r="I20" i="14" s="1"/>
  <c r="J20" i="14" s="1"/>
  <c r="K20" i="14" s="1"/>
  <c r="L20" i="14" s="1"/>
  <c r="M20" i="14" s="1"/>
  <c r="N20" i="14" s="1"/>
  <c r="E23" i="8"/>
  <c r="G26" i="8"/>
  <c r="D23" i="8"/>
  <c r="F26" i="8"/>
  <c r="D28" i="8"/>
  <c r="D21" i="8" s="1"/>
  <c r="E17" i="8"/>
  <c r="F17" i="8" s="1"/>
  <c r="G17" i="8" s="1"/>
  <c r="H17" i="8" s="1"/>
  <c r="A3" i="13"/>
  <c r="A4" i="13" s="1"/>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G11" i="8"/>
  <c r="E2" i="8"/>
  <c r="F2" i="8" s="1"/>
  <c r="G2" i="8" s="1"/>
  <c r="H2" i="8" s="1"/>
  <c r="I2" i="8" s="1"/>
  <c r="J2" i="8" s="1"/>
  <c r="K2" i="8" s="1"/>
  <c r="L2" i="8" s="1"/>
  <c r="M2" i="8" s="1"/>
  <c r="E10" i="8"/>
  <c r="F10" i="8"/>
  <c r="D7" i="8"/>
  <c r="E7" i="8"/>
  <c r="F7" i="8"/>
  <c r="G7" i="8"/>
  <c r="H7" i="8"/>
  <c r="C7" i="8"/>
  <c r="D4" i="8"/>
  <c r="E4" i="8"/>
  <c r="F4" i="8"/>
  <c r="G4" i="8"/>
  <c r="H4" i="8"/>
  <c r="C4" i="8"/>
  <c r="G27" i="15" l="1"/>
  <c r="C11" i="15"/>
  <c r="E30" i="15"/>
  <c r="C30" i="15"/>
  <c r="D26" i="15"/>
  <c r="D37" i="3" s="1"/>
  <c r="D30" i="15"/>
  <c r="C21" i="15"/>
  <c r="F15" i="15"/>
  <c r="D14" i="15"/>
  <c r="D46" i="3" s="1"/>
  <c r="L29" i="15"/>
  <c r="G9" i="15"/>
  <c r="E29" i="15"/>
  <c r="E36" i="3" s="1"/>
  <c r="D11" i="15"/>
  <c r="D34" i="3" s="1"/>
  <c r="L11" i="15"/>
  <c r="E6" i="15"/>
  <c r="G22" i="15"/>
  <c r="E27" i="15"/>
  <c r="F16" i="15"/>
  <c r="H6" i="15"/>
  <c r="D29" i="15"/>
  <c r="D36" i="3" s="1"/>
  <c r="D6" i="15"/>
  <c r="C15" i="15"/>
  <c r="D22" i="15"/>
  <c r="E8" i="15"/>
  <c r="E44" i="3" s="1"/>
  <c r="D9" i="15"/>
  <c r="H16" i="15"/>
  <c r="F30" i="15"/>
  <c r="D27" i="15"/>
  <c r="F8" i="8"/>
  <c r="E13" i="8"/>
  <c r="D5" i="8"/>
  <c r="F11" i="8"/>
  <c r="D13" i="8"/>
  <c r="C34" i="3"/>
  <c r="C24" i="3"/>
  <c r="C14" i="3" s="1"/>
  <c r="C45" i="3"/>
  <c r="D33" i="3"/>
  <c r="E38" i="3"/>
  <c r="E45" i="3"/>
  <c r="C28" i="3"/>
  <c r="C18" i="3" s="1"/>
  <c r="D38" i="3"/>
  <c r="H49" i="3"/>
  <c r="L14" i="15"/>
  <c r="D27" i="3"/>
  <c r="D17" i="3" s="1"/>
  <c r="L30" i="15"/>
  <c r="H28" i="3"/>
  <c r="H18" i="3" s="1"/>
  <c r="C38" i="3"/>
  <c r="F49" i="3"/>
  <c r="J17" i="15"/>
  <c r="E24" i="3"/>
  <c r="E14" i="3" s="1"/>
  <c r="E47" i="3"/>
  <c r="G49" i="3"/>
  <c r="H30" i="15"/>
  <c r="E9" i="15"/>
  <c r="G16" i="15"/>
  <c r="F22" i="15"/>
  <c r="C26" i="15"/>
  <c r="G28" i="3"/>
  <c r="G18" i="3" s="1"/>
  <c r="D44" i="3"/>
  <c r="E49" i="3"/>
  <c r="C14" i="15"/>
  <c r="H27" i="15"/>
  <c r="F28" i="3"/>
  <c r="F18" i="3" s="1"/>
  <c r="D49" i="3"/>
  <c r="L26" i="15"/>
  <c r="D16" i="15"/>
  <c r="K17" i="15"/>
  <c r="H14" i="15"/>
  <c r="C8" i="15"/>
  <c r="E20" i="8"/>
  <c r="D20" i="8"/>
  <c r="F23" i="8"/>
  <c r="G20" i="8"/>
  <c r="G15" i="15"/>
  <c r="L21" i="15"/>
  <c r="L15" i="15"/>
  <c r="G30" i="15"/>
  <c r="L5" i="15"/>
  <c r="H11" i="15"/>
  <c r="F29" i="15"/>
  <c r="L8" i="15"/>
  <c r="E14" i="15"/>
  <c r="D15" i="15"/>
  <c r="L17" i="15"/>
  <c r="D21" i="15"/>
  <c r="E26" i="15"/>
  <c r="G29" i="15"/>
  <c r="F14" i="15"/>
  <c r="E15" i="15"/>
  <c r="E16" i="15"/>
  <c r="E21" i="15"/>
  <c r="E22" i="15"/>
  <c r="F26" i="15"/>
  <c r="F27" i="15"/>
  <c r="H29" i="15"/>
  <c r="F21" i="15"/>
  <c r="G26" i="15"/>
  <c r="G21" i="15"/>
  <c r="H26" i="15"/>
  <c r="F11" i="15"/>
  <c r="F8" i="15"/>
  <c r="G8" i="15"/>
  <c r="H15" i="15"/>
  <c r="H21" i="15"/>
  <c r="C29" i="15"/>
  <c r="G14" i="15"/>
  <c r="G11" i="15"/>
  <c r="H8" i="15"/>
  <c r="F20" i="8"/>
  <c r="C13" i="8"/>
  <c r="F13" i="8"/>
  <c r="F12" i="8"/>
  <c r="E28" i="8"/>
  <c r="E24" i="8" s="1"/>
  <c r="E12" i="8"/>
  <c r="E6" i="8"/>
  <c r="F28" i="8"/>
  <c r="F24" i="8" s="1"/>
  <c r="G23" i="8"/>
  <c r="G28" i="8"/>
  <c r="G27" i="8" s="1"/>
  <c r="H26" i="8"/>
  <c r="K26" i="8" s="1"/>
  <c r="H20" i="8"/>
  <c r="E8" i="8"/>
  <c r="D8" i="8"/>
  <c r="H28" i="8"/>
  <c r="D24" i="8"/>
  <c r="E9" i="8"/>
  <c r="G13" i="8"/>
  <c r="D48" i="3" l="1"/>
  <c r="K27" i="15"/>
  <c r="D35" i="3"/>
  <c r="D25" i="3"/>
  <c r="D15" i="3" s="1"/>
  <c r="E12" i="15"/>
  <c r="J9" i="15"/>
  <c r="F24" i="14"/>
  <c r="J27" i="15"/>
  <c r="J6" i="15"/>
  <c r="D45" i="3"/>
  <c r="K30" i="15"/>
  <c r="D12" i="15"/>
  <c r="L27" i="15"/>
  <c r="L9" i="15"/>
  <c r="D24" i="3"/>
  <c r="E33" i="3"/>
  <c r="K6" i="15"/>
  <c r="L6" i="15"/>
  <c r="J16" i="15"/>
  <c r="E26" i="3"/>
  <c r="D47" i="3"/>
  <c r="E23" i="3"/>
  <c r="K9" i="15"/>
  <c r="D26" i="3"/>
  <c r="D16" i="3" s="1"/>
  <c r="J8" i="15"/>
  <c r="J22" i="15"/>
  <c r="D9" i="8"/>
  <c r="J23" i="8"/>
  <c r="E29" i="14"/>
  <c r="D6" i="8"/>
  <c r="J20" i="8"/>
  <c r="E30" i="14"/>
  <c r="D24" i="14"/>
  <c r="E23" i="14"/>
  <c r="G27" i="3"/>
  <c r="G17" i="3" s="1"/>
  <c r="G48" i="3"/>
  <c r="G37" i="3"/>
  <c r="F25" i="3"/>
  <c r="F15" i="3" s="1"/>
  <c r="F46" i="3"/>
  <c r="F35" i="3"/>
  <c r="F33" i="3"/>
  <c r="F23" i="3"/>
  <c r="F13" i="3" s="1"/>
  <c r="F44" i="3"/>
  <c r="K8" i="15"/>
  <c r="C25" i="3"/>
  <c r="C46" i="3"/>
  <c r="C35" i="3"/>
  <c r="F12" i="15"/>
  <c r="F45" i="3"/>
  <c r="F34" i="3"/>
  <c r="F24" i="3"/>
  <c r="F14" i="3" s="1"/>
  <c r="H35" i="3"/>
  <c r="H25" i="3"/>
  <c r="H15" i="3" s="1"/>
  <c r="H46" i="3"/>
  <c r="F36" i="3"/>
  <c r="F26" i="3"/>
  <c r="F16" i="3" s="1"/>
  <c r="F47" i="3"/>
  <c r="K15" i="15"/>
  <c r="H33" i="3"/>
  <c r="H23" i="3"/>
  <c r="H13" i="3" s="1"/>
  <c r="H44" i="3"/>
  <c r="J21" i="15"/>
  <c r="G12" i="15"/>
  <c r="G45" i="3"/>
  <c r="G34" i="3"/>
  <c r="G24" i="3"/>
  <c r="G14" i="3" s="1"/>
  <c r="K22" i="15"/>
  <c r="G35" i="3"/>
  <c r="G25" i="3"/>
  <c r="G15" i="3" s="1"/>
  <c r="G46" i="3"/>
  <c r="J26" i="15"/>
  <c r="H27" i="3"/>
  <c r="H17" i="3" s="1"/>
  <c r="H48" i="3"/>
  <c r="H37" i="3"/>
  <c r="J15" i="15"/>
  <c r="C48" i="3"/>
  <c r="C37" i="3"/>
  <c r="C27" i="3"/>
  <c r="H47" i="3"/>
  <c r="H36" i="3"/>
  <c r="H16" i="3"/>
  <c r="G36" i="3"/>
  <c r="G26" i="3"/>
  <c r="G16" i="3" s="1"/>
  <c r="G47" i="3"/>
  <c r="G33" i="3"/>
  <c r="G23" i="3"/>
  <c r="G13" i="3" s="1"/>
  <c r="G44" i="3"/>
  <c r="K26" i="15"/>
  <c r="E48" i="3"/>
  <c r="E37" i="3"/>
  <c r="E27" i="3"/>
  <c r="F48" i="3"/>
  <c r="F37" i="3"/>
  <c r="F27" i="3"/>
  <c r="F17" i="3" s="1"/>
  <c r="C33" i="3"/>
  <c r="C23" i="3"/>
  <c r="C44" i="3"/>
  <c r="C26" i="3"/>
  <c r="C47" i="3"/>
  <c r="C36" i="3"/>
  <c r="K14" i="15"/>
  <c r="E25" i="3"/>
  <c r="E46" i="3"/>
  <c r="E35" i="3"/>
  <c r="H24" i="3"/>
  <c r="H14" i="3" s="1"/>
  <c r="H45" i="3"/>
  <c r="H34" i="3"/>
  <c r="L16" i="15"/>
  <c r="L22" i="15"/>
  <c r="F9" i="8"/>
  <c r="D14" i="8"/>
  <c r="D32" i="3"/>
  <c r="D43" i="3"/>
  <c r="F6" i="8"/>
  <c r="G12" i="8"/>
  <c r="J30" i="15"/>
  <c r="K21" i="15"/>
  <c r="J14" i="15"/>
  <c r="K16" i="15"/>
  <c r="K11" i="15"/>
  <c r="J11" i="15"/>
  <c r="K29" i="15"/>
  <c r="J29" i="15"/>
  <c r="H12" i="15"/>
  <c r="G21" i="8"/>
  <c r="F27" i="8"/>
  <c r="F29" i="8"/>
  <c r="E27" i="8"/>
  <c r="E29" i="8"/>
  <c r="J26" i="8"/>
  <c r="K23" i="8"/>
  <c r="H27" i="8"/>
  <c r="H29" i="8"/>
  <c r="E21" i="8"/>
  <c r="K20" i="8"/>
  <c r="G6" i="8"/>
  <c r="G29" i="8"/>
  <c r="G24" i="8"/>
  <c r="F21" i="8"/>
  <c r="H24" i="8"/>
  <c r="H21" i="8"/>
  <c r="G9" i="8"/>
  <c r="I13" i="3" l="1"/>
  <c r="I14" i="3"/>
  <c r="J14" i="3"/>
  <c r="K14" i="3"/>
  <c r="E28" i="14"/>
  <c r="D30" i="14"/>
  <c r="C16" i="3"/>
  <c r="D28" i="14"/>
  <c r="C15" i="3"/>
  <c r="F23" i="14"/>
  <c r="F25" i="14" s="1"/>
  <c r="F26" i="14" s="1"/>
  <c r="E13" i="3"/>
  <c r="F29" i="14"/>
  <c r="E17" i="3"/>
  <c r="C13" i="3"/>
  <c r="D23" i="14"/>
  <c r="D25" i="14" s="1"/>
  <c r="D26" i="14" s="1"/>
  <c r="D27" i="14" s="1"/>
  <c r="F30" i="14"/>
  <c r="E16" i="3"/>
  <c r="F28" i="14"/>
  <c r="E15" i="3"/>
  <c r="D29" i="14"/>
  <c r="C17" i="3"/>
  <c r="E24" i="14"/>
  <c r="E25" i="14" s="1"/>
  <c r="E26" i="14" s="1"/>
  <c r="E27" i="14" s="1"/>
  <c r="E31" i="14" s="1"/>
  <c r="D14" i="3"/>
  <c r="L12" i="15"/>
  <c r="I7" i="8"/>
  <c r="J38" i="3"/>
  <c r="J49" i="3"/>
  <c r="M49" i="3"/>
  <c r="M38" i="3"/>
  <c r="J16" i="3"/>
  <c r="K16" i="3"/>
  <c r="M16" i="3"/>
  <c r="L16" i="3"/>
  <c r="I16" i="3"/>
  <c r="M14" i="3"/>
  <c r="L14" i="3"/>
  <c r="L49" i="3"/>
  <c r="L38" i="3"/>
  <c r="K38" i="3"/>
  <c r="K49" i="3"/>
  <c r="L27" i="3"/>
  <c r="L17" i="3" s="1"/>
  <c r="M27" i="3"/>
  <c r="M17" i="3" s="1"/>
  <c r="I27" i="3"/>
  <c r="I17" i="3" s="1"/>
  <c r="J27" i="3"/>
  <c r="J17" i="3" s="1"/>
  <c r="K27" i="3"/>
  <c r="K17" i="3" s="1"/>
  <c r="L25" i="3"/>
  <c r="L15" i="3" s="1"/>
  <c r="M25" i="3"/>
  <c r="M15" i="3" s="1"/>
  <c r="I25" i="3"/>
  <c r="I15" i="3" s="1"/>
  <c r="J25" i="3"/>
  <c r="J15" i="3" s="1"/>
  <c r="K25" i="3"/>
  <c r="K15" i="3" s="1"/>
  <c r="I49" i="3"/>
  <c r="G23" i="14"/>
  <c r="G28" i="14"/>
  <c r="G29" i="14"/>
  <c r="G30" i="14"/>
  <c r="G24" i="14"/>
  <c r="H43" i="3"/>
  <c r="H32" i="3"/>
  <c r="H28" i="14"/>
  <c r="H29" i="14"/>
  <c r="H30" i="14"/>
  <c r="H23" i="14"/>
  <c r="H24" i="14"/>
  <c r="G32" i="3"/>
  <c r="G43" i="3"/>
  <c r="F32" i="3"/>
  <c r="F43" i="3"/>
  <c r="K29" i="8"/>
  <c r="E32" i="3"/>
  <c r="E43" i="3"/>
  <c r="K12" i="15"/>
  <c r="J12" i="15"/>
  <c r="I33" i="3" l="1"/>
  <c r="I44" i="3"/>
  <c r="M33" i="3"/>
  <c r="M13" i="3"/>
  <c r="J33" i="3"/>
  <c r="J13" i="3"/>
  <c r="J44" i="3"/>
  <c r="L33" i="3"/>
  <c r="L13" i="3"/>
  <c r="K33" i="3"/>
  <c r="K13" i="3"/>
  <c r="D31" i="14"/>
  <c r="K44" i="3"/>
  <c r="F27" i="14"/>
  <c r="F31" i="14" s="1"/>
  <c r="M44" i="3"/>
  <c r="L44" i="3"/>
  <c r="J7" i="8"/>
  <c r="K7" i="8" s="1"/>
  <c r="L7" i="8" s="1"/>
  <c r="M7" i="8" s="1"/>
  <c r="G25" i="14"/>
  <c r="G26" i="14" s="1"/>
  <c r="G27" i="14" s="1"/>
  <c r="G31" i="14" s="1"/>
  <c r="L35" i="3"/>
  <c r="L46" i="3"/>
  <c r="J34" i="3"/>
  <c r="J45" i="3"/>
  <c r="M45" i="3"/>
  <c r="M34" i="3"/>
  <c r="K34" i="3"/>
  <c r="K45" i="3"/>
  <c r="J35" i="3"/>
  <c r="J46" i="3"/>
  <c r="I46" i="3"/>
  <c r="I35" i="3"/>
  <c r="I45" i="3"/>
  <c r="I34" i="3"/>
  <c r="K35" i="3"/>
  <c r="K46" i="3"/>
  <c r="H25" i="14"/>
  <c r="H26" i="14" s="1"/>
  <c r="H27" i="14" s="1"/>
  <c r="H31" i="14" s="1"/>
  <c r="M35" i="3"/>
  <c r="M46" i="3"/>
  <c r="L45" i="3"/>
  <c r="L34" i="3"/>
  <c r="F14" i="8"/>
  <c r="F22" i="3" s="1"/>
  <c r="F12" i="3" s="1"/>
  <c r="E14" i="8"/>
  <c r="E22" i="3" s="1"/>
  <c r="E12" i="3" s="1"/>
  <c r="G14" i="8"/>
  <c r="G22" i="3" s="1"/>
  <c r="G12" i="3" s="1"/>
  <c r="H8" i="8"/>
  <c r="G8" i="8"/>
  <c r="F5" i="8"/>
  <c r="G5" i="8"/>
  <c r="H5" i="8"/>
  <c r="E5" i="8"/>
  <c r="E41" i="3" l="1"/>
  <c r="F41" i="3" s="1"/>
  <c r="G41" i="3" s="1"/>
  <c r="H41" i="3" s="1"/>
  <c r="I41" i="3" s="1"/>
  <c r="J41" i="3" s="1"/>
  <c r="K41" i="3" s="1"/>
  <c r="L41" i="3" s="1"/>
  <c r="M41" i="3" s="1"/>
  <c r="E30" i="3"/>
  <c r="F30" i="3" s="1"/>
  <c r="G30" i="3" s="1"/>
  <c r="H30" i="3" s="1"/>
  <c r="I30" i="3" s="1"/>
  <c r="J30" i="3" s="1"/>
  <c r="K30" i="3" s="1"/>
  <c r="L30" i="3" s="1"/>
  <c r="M30" i="3" s="1"/>
  <c r="E20" i="3"/>
  <c r="F20" i="3" s="1"/>
  <c r="G20" i="3" s="1"/>
  <c r="H20" i="3" s="1"/>
  <c r="I20" i="3" s="1"/>
  <c r="J20" i="3" s="1"/>
  <c r="K20" i="3" s="1"/>
  <c r="L20" i="3" s="1"/>
  <c r="M20" i="3" s="1"/>
  <c r="I10" i="8" l="1"/>
  <c r="H13" i="8"/>
  <c r="H12" i="8" s="1"/>
  <c r="H11" i="8"/>
  <c r="J10" i="8" l="1"/>
  <c r="H9" i="8"/>
  <c r="H6" i="8"/>
  <c r="H14" i="8"/>
  <c r="H22" i="3" s="1"/>
  <c r="H12" i="3" s="1"/>
  <c r="I22" i="14" s="1"/>
  <c r="K10" i="8" l="1"/>
  <c r="I24" i="14"/>
  <c r="I30" i="14"/>
  <c r="I29" i="14"/>
  <c r="I28" i="14"/>
  <c r="I23" i="14"/>
  <c r="I25" i="14" l="1"/>
  <c r="I26" i="14" s="1"/>
  <c r="I27" i="14" s="1"/>
  <c r="I31" i="14" s="1"/>
  <c r="L10" i="8"/>
  <c r="M10" i="8" l="1"/>
  <c r="I4" i="8" l="1"/>
  <c r="J4" i="8" s="1"/>
  <c r="I13" i="8" l="1"/>
  <c r="K4" i="8"/>
  <c r="J13" i="8"/>
  <c r="J14" i="8" s="1"/>
  <c r="I9" i="8"/>
  <c r="I14" i="8"/>
  <c r="I22" i="3" s="1"/>
  <c r="I12" i="3" s="1"/>
  <c r="I6" i="8"/>
  <c r="J22" i="14" l="1"/>
  <c r="J6" i="8"/>
  <c r="J22" i="3"/>
  <c r="J12" i="3" s="1"/>
  <c r="I12" i="8"/>
  <c r="I32" i="3"/>
  <c r="I43" i="3"/>
  <c r="J9" i="8"/>
  <c r="J12" i="8"/>
  <c r="K13" i="8"/>
  <c r="K6" i="8" s="1"/>
  <c r="L4" i="8"/>
  <c r="K22" i="14" l="1"/>
  <c r="J28" i="14"/>
  <c r="J23" i="14"/>
  <c r="J29" i="14"/>
  <c r="J30" i="14"/>
  <c r="J24" i="14"/>
  <c r="J32" i="3"/>
  <c r="J43" i="3"/>
  <c r="K29" i="14"/>
  <c r="K28" i="14"/>
  <c r="K30" i="14"/>
  <c r="K24" i="14"/>
  <c r="K23" i="14"/>
  <c r="M4" i="8"/>
  <c r="L13" i="8"/>
  <c r="L6" i="8" s="1"/>
  <c r="K9" i="8"/>
  <c r="K14" i="8"/>
  <c r="K22" i="3" s="1"/>
  <c r="K12" i="3" s="1"/>
  <c r="L22" i="14" s="1"/>
  <c r="K12" i="8"/>
  <c r="K25" i="14" l="1"/>
  <c r="K26" i="14" s="1"/>
  <c r="K27" i="14" s="1"/>
  <c r="K31" i="14" s="1"/>
  <c r="J25" i="14"/>
  <c r="C77" i="14" s="1"/>
  <c r="L29" i="14"/>
  <c r="L30" i="14"/>
  <c r="L28" i="14"/>
  <c r="L23" i="14"/>
  <c r="L24" i="14"/>
  <c r="L14" i="8"/>
  <c r="L22" i="3" s="1"/>
  <c r="L12" i="3" s="1"/>
  <c r="M22" i="14" s="1"/>
  <c r="L12" i="8"/>
  <c r="L9" i="8"/>
  <c r="M13" i="8"/>
  <c r="K32" i="3"/>
  <c r="K43" i="3"/>
  <c r="J26" i="14" l="1"/>
  <c r="J27" i="14" s="1"/>
  <c r="J31" i="14" s="1"/>
  <c r="L25" i="14"/>
  <c r="L26" i="14" s="1"/>
  <c r="L27" i="14" s="1"/>
  <c r="L31" i="14" s="1"/>
  <c r="M12" i="8"/>
  <c r="M9" i="8"/>
  <c r="M14" i="8"/>
  <c r="M22" i="3" s="1"/>
  <c r="M12" i="3" s="1"/>
  <c r="N22" i="14" s="1"/>
  <c r="M6" i="8"/>
  <c r="K33" i="14"/>
  <c r="M30" i="14"/>
  <c r="M29" i="14"/>
  <c r="M23" i="14"/>
  <c r="M28" i="14"/>
  <c r="M24" i="14"/>
  <c r="L43" i="3"/>
  <c r="L32" i="3"/>
  <c r="J33" i="14" l="1"/>
  <c r="M25" i="14"/>
  <c r="M26" i="14" s="1"/>
  <c r="M27" i="14" s="1"/>
  <c r="M31" i="14" s="1"/>
  <c r="M33" i="14" s="1"/>
  <c r="L33" i="14"/>
  <c r="N30" i="14"/>
  <c r="N28" i="14"/>
  <c r="N24" i="14"/>
  <c r="N29" i="14"/>
  <c r="N23" i="14"/>
  <c r="M32" i="3"/>
  <c r="M43" i="3"/>
  <c r="N25" i="14" l="1"/>
  <c r="N26" i="14" s="1"/>
  <c r="N27" i="14" s="1"/>
  <c r="N31" i="14" s="1"/>
  <c r="C40" i="14" s="1"/>
  <c r="C43" i="14" s="1"/>
  <c r="C44" i="14" s="1"/>
  <c r="C55" i="14" l="1"/>
  <c r="C56" i="14" s="1"/>
  <c r="N33" i="14"/>
  <c r="C47" i="14" l="1"/>
  <c r="C51" i="14" s="1"/>
  <c r="C79" i="14" l="1"/>
  <c r="C84" i="14" s="1"/>
  <c r="C58" i="14"/>
  <c r="C60" i="14" s="1"/>
  <c r="C81" i="14" l="1"/>
  <c r="C86" i="14"/>
  <c r="C53"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<sst xmlns="http://schemas.openxmlformats.org/spreadsheetml/2006/main" count="1044" uniqueCount="598">
  <si>
    <t>Ref. #</t>
  </si>
  <si>
    <t>Explanation of Assumption</t>
  </si>
  <si>
    <t>BD has announced that it will spin-off the Diabetes Care Unit which produced $1.16 billion in revenue in FY2021 (BD Annual Report 2021 page 27). We adjust the revenue of FY2022 down by the same amount multiplied by the average annual growth rate of the past 5 years to arrive at a negative annual growth rate for the year. The average of the past five year's annual revenue growth rate is used as the base for our projections of the annual growth rate in the next four years and it is multiplied by ratio of all of the other revenues excluding the Diabetes Care unit over the total revenues in the Medical Segement in 2021 to account for a lower growth due to the loss of the unit (BD Annual Report 2021 page 27). We did not adjust for COVID-19 impacts on revenues as the decrease in the growth rate in FY2020 due to COVID-19 related pressures is offset by the increase in the growth rate in FY2021.</t>
  </si>
  <si>
    <t>For the BD Interventional Segment, the average of the historical annual revenue growth rate is used as the base for our projections of the annual growth rate in the next five years. However, we remove the annual growth rate in 2019 as it reflects an inflated increase due to the inclusion of revenues from a new acquisition (BD Annual Report 2019 page 28). We believe this segment will continue to grow as the company has invested a consistent amount as capital expenditures into this segment with $120 million, $119 million, and $125million in FY2019, FY2020, and FY2021 respectively (BD Annual Report 2021 page 76). We did not adjust for COVID-19 impacts on revenues as the decrease in the growth rate in 2020 due to COVID-19 related pressures is offset by the increase in the growth rate in FY2021.</t>
  </si>
  <si>
    <t xml:space="preserve">We assumed that the terminal growth rate is 2% with a conservative estimate aligned with the target inflation rate of the Federal Reserve . This is below the historical average GDP growth rate of around 3.14% from 1948 until 2021. </t>
  </si>
  <si>
    <t xml:space="preserve">https://ycharts.com/indicators/us_inflation_rate </t>
  </si>
  <si>
    <t xml:space="preserve">Since the cash flows are discounted to the fiscal year end of the company of September 31, 2021 under our DCF model, we adjust the discounted time period to discount back to January 24, 2022. </t>
  </si>
  <si>
    <t>https://tradingeconomics.com/united-states/gdp-growth-annual#:~:text=GDP%20Annual%20Growth%20Rate%20in,the%20second%20quarter%20of%202020.</t>
  </si>
  <si>
    <t>https://www.bloomberg.com/markets/rates-bonds/government-bonds/us</t>
  </si>
  <si>
    <t>Risk premium in the US has an average of 5.5% in 2021, where the historical average has been between 5.2%-5.7%. Thus, we believe that a 5.5% estimate is reasonable.</t>
  </si>
  <si>
    <t xml:space="preserve">https://www.statista.com/statistics/664840/average-market-risk-premium-usa/#:~:text=The%20average%20market%20risk%20premium,and%205.7%20percent%20since%202011. </t>
  </si>
  <si>
    <t xml:space="preserve">Case Number </t>
  </si>
  <si>
    <t>*Linked to "DCF Valuation"</t>
  </si>
  <si>
    <t>Case Guide</t>
  </si>
  <si>
    <t>Base</t>
  </si>
  <si>
    <t>Bull</t>
  </si>
  <si>
    <t>Bear</t>
  </si>
  <si>
    <t>FY2016A</t>
  </si>
  <si>
    <t>Revenue Growth</t>
  </si>
  <si>
    <t>COGS as a % of Revenue</t>
  </si>
  <si>
    <t>OpEx as a % of Revenue</t>
  </si>
  <si>
    <t>D&amp;A as a % of Revenue</t>
  </si>
  <si>
    <t>CAPEX as a % of Revenue</t>
  </si>
  <si>
    <t>Change in NWC as % of Revenue</t>
  </si>
  <si>
    <t>Effective Tax Rate</t>
  </si>
  <si>
    <t>Base Case</t>
  </si>
  <si>
    <t xml:space="preserve">*See tab "Revenue Model" for assumptions </t>
  </si>
  <si>
    <t>*See tab "Historical Analysis" for assumptions</t>
  </si>
  <si>
    <t>Bear Case</t>
  </si>
  <si>
    <t xml:space="preserve">Assumption 9 </t>
  </si>
  <si>
    <t>Assumption 10</t>
  </si>
  <si>
    <t>Assumption 11</t>
  </si>
  <si>
    <t>Assumption 12</t>
  </si>
  <si>
    <t>Assumption 13</t>
  </si>
  <si>
    <t>Assumption 14</t>
  </si>
  <si>
    <t>Assumption 15</t>
  </si>
  <si>
    <t>Assumption 16</t>
  </si>
  <si>
    <t>Assumption 17</t>
  </si>
  <si>
    <t>Assumption 18</t>
  </si>
  <si>
    <t>Assumption 19</t>
  </si>
  <si>
    <t>Assumption 20</t>
  </si>
  <si>
    <t>Assumption 21</t>
  </si>
  <si>
    <t>Assumption 22</t>
  </si>
  <si>
    <t>Analysis</t>
  </si>
  <si>
    <t>Average</t>
  </si>
  <si>
    <t>Standard Deviation</t>
  </si>
  <si>
    <t>Correl. with Revenue</t>
  </si>
  <si>
    <t>(millions of dollars)</t>
  </si>
  <si>
    <t>From Income Statement</t>
  </si>
  <si>
    <t xml:space="preserve">Revenue </t>
  </si>
  <si>
    <t>Revenue Annual Growth Rate</t>
  </si>
  <si>
    <t>COGS</t>
  </si>
  <si>
    <t>Assumption 2</t>
  </si>
  <si>
    <t>COGS Annual Growth Rate</t>
  </si>
  <si>
    <t>OpEx</t>
  </si>
  <si>
    <t>Assumption 3</t>
  </si>
  <si>
    <t>OpEx Annual Growth Rate</t>
  </si>
  <si>
    <t>D&amp;A</t>
  </si>
  <si>
    <t>Assumption 4</t>
  </si>
  <si>
    <t>D&amp;A as a % of Net PPE</t>
  </si>
  <si>
    <t>D&amp;A Annual Growth Rate</t>
  </si>
  <si>
    <t>Assumption 6</t>
  </si>
  <si>
    <t>From Balance Sheet</t>
  </si>
  <si>
    <t>Net PPE</t>
  </si>
  <si>
    <t xml:space="preserve">Net PPE as a % of Revenue </t>
  </si>
  <si>
    <t>Net PPE Annual Growth Rate</t>
  </si>
  <si>
    <t>From Cash Flow Statement</t>
  </si>
  <si>
    <t>Change in NWC</t>
  </si>
  <si>
    <t>Assumption 7</t>
  </si>
  <si>
    <t>Change in NWC Annual Growth Rate</t>
  </si>
  <si>
    <t>CAPEX</t>
  </si>
  <si>
    <t>Assumption 8</t>
  </si>
  <si>
    <t>CAPEX as a % of Net PPE</t>
  </si>
  <si>
    <t>CAPEX Annual Growth Rate</t>
  </si>
  <si>
    <t>Revenue Build</t>
  </si>
  <si>
    <t>Medical</t>
  </si>
  <si>
    <t>Annual Growth Rate</t>
  </si>
  <si>
    <t>Assumption 23</t>
  </si>
  <si>
    <t>% of Total Revenues</t>
  </si>
  <si>
    <t>Life Sciences</t>
  </si>
  <si>
    <t>Assumption 24</t>
  </si>
  <si>
    <t>Interventional</t>
  </si>
  <si>
    <t>n/a</t>
  </si>
  <si>
    <t>Assumption 25</t>
  </si>
  <si>
    <t>Total Revenue</t>
  </si>
  <si>
    <t>Assumption 1</t>
  </si>
  <si>
    <t>Scenarios &amp; Other Inputs</t>
  </si>
  <si>
    <t>Selected Case</t>
  </si>
  <si>
    <t>Risk Free Rate</t>
  </si>
  <si>
    <t>Assumption 29</t>
  </si>
  <si>
    <t>Beta</t>
  </si>
  <si>
    <t>Cost of Equity</t>
  </si>
  <si>
    <t xml:space="preserve">Cost of Debt </t>
  </si>
  <si>
    <t>Terminal Growth Rate</t>
  </si>
  <si>
    <t>Tax Rate</t>
  </si>
  <si>
    <t>WACC</t>
  </si>
  <si>
    <t>DCF Projections</t>
  </si>
  <si>
    <t>FY Ending September</t>
  </si>
  <si>
    <t>FCF</t>
  </si>
  <si>
    <t>Revenue</t>
  </si>
  <si>
    <t xml:space="preserve">COGS </t>
  </si>
  <si>
    <t>EBIT</t>
  </si>
  <si>
    <t>Taxes</t>
  </si>
  <si>
    <t>NOPAT</t>
  </si>
  <si>
    <t>+ D&amp;A</t>
  </si>
  <si>
    <t>- Change in NWC</t>
  </si>
  <si>
    <t>- CAPEX</t>
  </si>
  <si>
    <t>Discount Factor</t>
  </si>
  <si>
    <t>Discounted FCF</t>
  </si>
  <si>
    <t>Terminal Value Calculation</t>
  </si>
  <si>
    <t>Terminal Value</t>
  </si>
  <si>
    <t xml:space="preserve">Terminal Year </t>
  </si>
  <si>
    <t>FY2027</t>
  </si>
  <si>
    <t>Terminal Cash Flow</t>
  </si>
  <si>
    <t>Assumption 26</t>
  </si>
  <si>
    <t xml:space="preserve">Discount Rate </t>
  </si>
  <si>
    <t>PV of Terminal Value</t>
  </si>
  <si>
    <t>Value per Share</t>
  </si>
  <si>
    <t>Enterprise Value</t>
  </si>
  <si>
    <t>Debt</t>
  </si>
  <si>
    <t>Cash</t>
  </si>
  <si>
    <t>FCFE</t>
  </si>
  <si>
    <t>No. of Shares</t>
  </si>
  <si>
    <t>Value per Share Adjusted to Jan 24, 2022:</t>
  </si>
  <si>
    <t>Enterprise Value, Jan 24, 2022</t>
  </si>
  <si>
    <t xml:space="preserve">Assumption 27 </t>
  </si>
  <si>
    <t>FCFE, Jan 24, 2022</t>
  </si>
  <si>
    <t>Assumption 28</t>
  </si>
  <si>
    <t>Value per Share, Jan 24, 2022</t>
  </si>
  <si>
    <t>Actual Value per Share on Jan 24, 2022</t>
  </si>
  <si>
    <t>Over (Under) Valued</t>
  </si>
  <si>
    <t>Implied Equity Value, and Share Price</t>
  </si>
  <si>
    <t>Valuation by Multiples - PE LTM</t>
  </si>
  <si>
    <t>Peer Group's PE Ratio LTM</t>
  </si>
  <si>
    <t>LTM Net Income</t>
  </si>
  <si>
    <t>Equity Value</t>
  </si>
  <si>
    <t>Number of Shares Outstanding</t>
  </si>
  <si>
    <t xml:space="preserve">Implied Share Price </t>
  </si>
  <si>
    <t>Actual Share Price Jan 24th, 2022</t>
  </si>
  <si>
    <t>Over (under) valued</t>
  </si>
  <si>
    <t>Valuation by Multiples - EV/EBIT</t>
  </si>
  <si>
    <t>Peer Group's EV/EBIT</t>
  </si>
  <si>
    <t>BDX EBIT</t>
  </si>
  <si>
    <t>Valuation by Multiples - Conclusion</t>
  </si>
  <si>
    <t>Concluded Fair Value</t>
  </si>
  <si>
    <t>Share Price Sensitivity Analysis</t>
  </si>
  <si>
    <t xml:space="preserve"> WACC </t>
  </si>
  <si>
    <t xml:space="preserve"> Terminal Growth </t>
  </si>
  <si>
    <t>Cost of Debt</t>
  </si>
  <si>
    <t xml:space="preserve"> Tax Rate </t>
  </si>
  <si>
    <t>Becton, Dickinson and Company (BDX)</t>
  </si>
  <si>
    <t>$262.04</t>
  </si>
  <si>
    <t>Becton, Dickinson and Company</t>
  </si>
  <si>
    <t xml:space="preserve">BDX   075887109   2087807   NYSE    Common stock    </t>
  </si>
  <si>
    <t>Source: FactSet Fundamentals</t>
  </si>
  <si>
    <t>SEP '16</t>
  </si>
  <si>
    <t>SEP '17</t>
  </si>
  <si>
    <t>SEP '18</t>
  </si>
  <si>
    <t>SEP '19</t>
  </si>
  <si>
    <t>SEP '20</t>
  </si>
  <si>
    <t>SEP '21</t>
  </si>
  <si>
    <t>Restate</t>
  </si>
  <si>
    <t>Sales</t>
  </si>
  <si>
    <t>Cost of Goods Sold (COGS) incl. D&amp;A</t>
  </si>
  <si>
    <t>COGS excluding D&amp;A</t>
  </si>
  <si>
    <t>Depreciation &amp; Amortization Expense</t>
  </si>
  <si>
    <t>Depreciation</t>
  </si>
  <si>
    <t>Amortization of Intangibles</t>
  </si>
  <si>
    <t>Gross Income</t>
  </si>
  <si>
    <t>SG&amp;A Expense</t>
  </si>
  <si>
    <t>Research &amp; Development</t>
  </si>
  <si>
    <t>Other SG&amp;A</t>
  </si>
  <si>
    <t>EBIT (Operating Income)</t>
  </si>
  <si>
    <t>Nonoperating Income - Net</t>
  </si>
  <si>
    <t>Nonoperating Interest Income</t>
  </si>
  <si>
    <t>Other Income (Expense)</t>
  </si>
  <si>
    <t>Interest Expense</t>
  </si>
  <si>
    <t>Gross Interest Expense</t>
  </si>
  <si>
    <t>Interest Capitalized</t>
  </si>
  <si>
    <t>Unusual Expense - Net</t>
  </si>
  <si>
    <t>Impairments</t>
  </si>
  <si>
    <t>Other Intangibles</t>
  </si>
  <si>
    <t>Property,Plant &amp; Equipment</t>
  </si>
  <si>
    <t>Exceptional Provisions</t>
  </si>
  <si>
    <t>Restructuring Expense</t>
  </si>
  <si>
    <t>Legal Claim Expense</t>
  </si>
  <si>
    <t>Unrealized Valuation Gain/Loss</t>
  </si>
  <si>
    <t>Hedges/Derivatives</t>
  </si>
  <si>
    <t>Excpl Chrgs - Others</t>
  </si>
  <si>
    <t>Restructuring of Debt</t>
  </si>
  <si>
    <t>Early termination of Contracts costs (Income)</t>
  </si>
  <si>
    <t>Calamitous Events</t>
  </si>
  <si>
    <t>Pretax Income</t>
  </si>
  <si>
    <t>Income Taxes</t>
  </si>
  <si>
    <t>Income Taxes - Current Domestic</t>
  </si>
  <si>
    <t>Income Taxes - Current Foreign</t>
  </si>
  <si>
    <t>Income Taxes - Deferred Domestic</t>
  </si>
  <si>
    <t>Income Taxes - Deferred Foreign</t>
  </si>
  <si>
    <t>Other After Tax Adjustments</t>
  </si>
  <si>
    <t>Consolidated Net Income</t>
  </si>
  <si>
    <t>Net Income</t>
  </si>
  <si>
    <t>Discontinued Operations</t>
  </si>
  <si>
    <t>Preferred Dividends</t>
  </si>
  <si>
    <t>Net Income available to Common</t>
  </si>
  <si>
    <t>Per Share</t>
  </si>
  <si>
    <t>EPS (recurring)</t>
  </si>
  <si>
    <t>Basic Shares Outstanding</t>
  </si>
  <si>
    <t>Total Shares Outstanding</t>
  </si>
  <si>
    <t>EPS (diluted)</t>
  </si>
  <si>
    <t>Diluted Shares Outstanding</t>
  </si>
  <si>
    <t>Earnings Persistence</t>
  </si>
  <si>
    <t>Dividends per Share</t>
  </si>
  <si>
    <t>Payout Ratio</t>
  </si>
  <si>
    <t>EBITDA</t>
  </si>
  <si>
    <t>All figures in millions of U.S. Dollar except per share items.</t>
  </si>
  <si>
    <t>Assets</t>
  </si>
  <si>
    <t>Cash &amp; Short-Term Investments</t>
  </si>
  <si>
    <t>Cash Only</t>
  </si>
  <si>
    <t>Total Short Term Investments</t>
  </si>
  <si>
    <t>Short-Term Receivables</t>
  </si>
  <si>
    <t>Accounts Receivables, Net</t>
  </si>
  <si>
    <t>Accounts Receivables, Gross</t>
  </si>
  <si>
    <t>Bad Debt/Doubtful Accounts</t>
  </si>
  <si>
    <t>Other Receivables</t>
  </si>
  <si>
    <t>Inventories</t>
  </si>
  <si>
    <t>Finished Goods</t>
  </si>
  <si>
    <t>Work in Progress</t>
  </si>
  <si>
    <t>Raw Materials</t>
  </si>
  <si>
    <t>Other Current Assets</t>
  </si>
  <si>
    <t>Miscellaneous Current Assets</t>
  </si>
  <si>
    <t>Total Current Assets</t>
  </si>
  <si>
    <t>Net Property, Plant &amp; Equipment</t>
  </si>
  <si>
    <t>Property, Plant &amp; Equipment - Gross</t>
  </si>
  <si>
    <t>Buildings</t>
  </si>
  <si>
    <t>Land &amp; Improvements</t>
  </si>
  <si>
    <t>Machinery &amp; Equipment</t>
  </si>
  <si>
    <t>Other Property, Plant &amp; Equipment</t>
  </si>
  <si>
    <t>Operating Lease Right-of-Use Assets</t>
  </si>
  <si>
    <t>Accumulated Depreciation</t>
  </si>
  <si>
    <t xml:space="preserve">Total Long-Term Investments </t>
  </si>
  <si>
    <t>Long-Term Note Receivable</t>
  </si>
  <si>
    <t>Intangible Assets</t>
  </si>
  <si>
    <t>Goodwill</t>
  </si>
  <si>
    <t>Other Intangible Assets</t>
  </si>
  <si>
    <t>Deferred Tax Assets</t>
  </si>
  <si>
    <t>Other Assets</t>
  </si>
  <si>
    <t>Tangible Other Assets</t>
  </si>
  <si>
    <t>Total Assets</t>
  </si>
  <si>
    <t>Liabilities &amp; Shareholders' Equity</t>
  </si>
  <si>
    <t>Current</t>
  </si>
  <si>
    <t>ST Debt &amp; Curr. Portion LT Debt</t>
  </si>
  <si>
    <t>Accounts Payable</t>
  </si>
  <si>
    <t>Income Tax Payable</t>
  </si>
  <si>
    <t>Other Current Liabilities</t>
  </si>
  <si>
    <t>Accrued Payroll</t>
  </si>
  <si>
    <t>Miscellaneous Current Liabilities</t>
  </si>
  <si>
    <t>Total Current Liabilities</t>
  </si>
  <si>
    <t>Long-Term</t>
  </si>
  <si>
    <t>Long-Term Debt</t>
  </si>
  <si>
    <t>Long-Term Debt excl Lease Obligations</t>
  </si>
  <si>
    <t>Capital and Operating Lease Obligations</t>
  </si>
  <si>
    <t>Provision for Risks &amp; Charges</t>
  </si>
  <si>
    <t>Deferred Tax Liabilities</t>
  </si>
  <si>
    <t>Other Liabilities</t>
  </si>
  <si>
    <t>Other Liabilities (excl. Deferred Income)</t>
  </si>
  <si>
    <t>Total Liabilities</t>
  </si>
  <si>
    <t>Equity</t>
  </si>
  <si>
    <t>Preferred Stock (Carrying Value)</t>
  </si>
  <si>
    <t>Non-Redeemable Preferred Stock</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</si>
  <si>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</si>
  <si>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</si>
  <si>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</si>
  <si>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</si>
  <si>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</si>
  <si>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</si>
  <si>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</si>
  <si>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Treasury Stock</t>
  </si>
  <si>
    <t>Total Shareholders' Equity</t>
  </si>
  <si>
    <t>Total Equity</t>
  </si>
  <si>
    <t>Total Liabilities &amp; Shareholders' Equity</t>
  </si>
  <si>
    <t>Book Value per Share</t>
  </si>
  <si>
    <t>Tangible Book Value per Share</t>
  </si>
  <si>
    <t>Operating Activities</t>
  </si>
  <si>
    <t>Net Income / Starting Line</t>
  </si>
  <si>
    <t>Depreciation, Depletion &amp; Amortization</t>
  </si>
  <si>
    <t>Depreciation and Depletion</t>
  </si>
  <si>
    <t>Amortization of Intangible Assets</t>
  </si>
  <si>
    <t>Deferred Taxes &amp; Investment Tax Credit</t>
  </si>
  <si>
    <t>Deferred Taxes</t>
  </si>
  <si>
    <t>Other Funds</t>
  </si>
  <si>
    <t>Funds from Operations</t>
  </si>
  <si>
    <t>Changes in Working Capital</t>
  </si>
  <si>
    <t>Receivables</t>
  </si>
  <si>
    <t>Other Assets/Liabilities</t>
  </si>
  <si>
    <t>Net Operating Cash Flow</t>
  </si>
  <si>
    <t>Investing Activities</t>
  </si>
  <si>
    <t>Capital Expenditures</t>
  </si>
  <si>
    <t>Capital Expenditures (Fixed Assets)</t>
  </si>
  <si>
    <t>Capital Expenditures (Other Assets)</t>
  </si>
  <si>
    <t>Net Assets from Acquisitions</t>
  </si>
  <si>
    <t>Sale of Fixed Assets &amp; Businesses</t>
  </si>
  <si>
    <t>Purchase/Sale of Investments</t>
  </si>
  <si>
    <t>Purchase of Investments</t>
  </si>
  <si>
    <t>Sale/Maturity of Investments</t>
  </si>
  <si>
    <t>Other Uses</t>
  </si>
  <si>
    <t>Other Sources</t>
  </si>
  <si>
    <t>Net Investing Cash Flow</t>
  </si>
  <si>
    <t>Financing Activities</t>
  </si>
  <si>
    <t>Cash Dividends Paid</t>
  </si>
  <si>
    <t>Common Dividends</t>
  </si>
  <si>
    <t>Change in Capital Stock</t>
  </si>
  <si>
    <t>Repurchase of Common &amp; Preferred Stk.</t>
  </si>
  <si>
    <t>Sale of Common &amp; Preferred Stock</t>
  </si>
  <si>
    <t>Proceeds from Sale of Stock</t>
  </si>
  <si>
    <t>Issuance/Reduction of Debt, Net</t>
  </si>
  <si>
    <t>Change in Current Debt</t>
  </si>
  <si>
    <t>Change in Long-Term Debt</t>
  </si>
  <si>
    <t>Issuance of Long-Term Debt</t>
  </si>
  <si>
    <t>Reduction in Long-Term Debt</t>
  </si>
  <si>
    <t>Net Financing Cash Flow</t>
  </si>
  <si>
    <t>All Activities</t>
  </si>
  <si>
    <t>Exchange Rate Effect</t>
  </si>
  <si>
    <t>Miscellaneous Funds</t>
  </si>
  <si>
    <t>Net Change in Cash</t>
  </si>
  <si>
    <t>Free Cash Flow</t>
  </si>
  <si>
    <t>Free Cash Flow per Share</t>
  </si>
  <si>
    <t>Free Cash Flow Yield (%)</t>
  </si>
  <si>
    <t>BDX-US</t>
  </si>
  <si>
    <t>SEP '12</t>
  </si>
  <si>
    <t>SEP '13</t>
  </si>
  <si>
    <t>SEP '14</t>
  </si>
  <si>
    <t>SEP '15</t>
  </si>
  <si>
    <t>366 Days</t>
  </si>
  <si>
    <t>365 Days</t>
  </si>
  <si>
    <t>Total</t>
  </si>
  <si>
    <t>-</t>
  </si>
  <si>
    <t>Historical Segments</t>
  </si>
  <si>
    <t>Diagnostics</t>
  </si>
  <si>
    <t>Biosciences</t>
  </si>
  <si>
    <t>All figures in millions of U.S. Dollar</t>
  </si>
  <si>
    <t>Comps Tables - FactSet RBICS Sub-Sector - General Medical Devices</t>
  </si>
  <si>
    <t>Selected Financials</t>
  </si>
  <si>
    <t>Market Data ($)</t>
  </si>
  <si>
    <t>Financial ($)</t>
  </si>
  <si>
    <t>Valuation (x)</t>
  </si>
  <si>
    <t>Company</t>
  </si>
  <si>
    <t>Fiscal</t>
  </si>
  <si>
    <t>Shares Out</t>
  </si>
  <si>
    <t>EV/</t>
  </si>
  <si>
    <t>Name</t>
  </si>
  <si>
    <t>Ticker</t>
  </si>
  <si>
    <t>Period</t>
  </si>
  <si>
    <t>Price</t>
  </si>
  <si>
    <t>Mkt Cap (M)</t>
  </si>
  <si>
    <t>EV (M)</t>
  </si>
  <si>
    <t>(M)</t>
  </si>
  <si>
    <t>Diluted (M)</t>
  </si>
  <si>
    <t>Sales (M)</t>
  </si>
  <si>
    <t>EBIT (M)</t>
  </si>
  <si>
    <t>EBITDA (M)</t>
  </si>
  <si>
    <t>Becton, Dickinson</t>
  </si>
  <si>
    <t>12/31/2021</t>
  </si>
  <si>
    <t>Edwards Lifesciences</t>
  </si>
  <si>
    <t>EW-US</t>
  </si>
  <si>
    <t>12/2021</t>
  </si>
  <si>
    <t>Boston Scientific</t>
  </si>
  <si>
    <t>BSX-US</t>
  </si>
  <si>
    <t>Stryker Corp</t>
  </si>
  <si>
    <t>SYK-US</t>
  </si>
  <si>
    <t>Intuitive Surgical</t>
  </si>
  <si>
    <t>ISRG-US</t>
  </si>
  <si>
    <t>Baxter Intl</t>
  </si>
  <si>
    <t>BAX-US</t>
  </si>
  <si>
    <t>Danaher</t>
  </si>
  <si>
    <t>DHR-US</t>
  </si>
  <si>
    <t>Abbott Laboratories</t>
  </si>
  <si>
    <t>ABT-US</t>
  </si>
  <si>
    <t>Median</t>
  </si>
  <si>
    <t>Valuation</t>
  </si>
  <si>
    <t>P/E (x)</t>
  </si>
  <si>
    <t>EV/ (x)</t>
  </si>
  <si>
    <t>FY1</t>
  </si>
  <si>
    <t>Date</t>
  </si>
  <si>
    <t>Actual</t>
  </si>
  <si>
    <t>FY2</t>
  </si>
  <si>
    <t>09/2022</t>
  </si>
  <si>
    <t>12/2022</t>
  </si>
  <si>
    <t>Instrument ID</t>
  </si>
  <si>
    <t>Description</t>
  </si>
  <si>
    <t>Balance Sheet Amt Out (USD)</t>
  </si>
  <si>
    <t>Current Amt Out (USD)</t>
  </si>
  <si>
    <t>Coupon Rate</t>
  </si>
  <si>
    <t>Coupon Type</t>
  </si>
  <si>
    <t>Issue Date</t>
  </si>
  <si>
    <t>Maturity Date</t>
  </si>
  <si>
    <t>Issue Curr</t>
  </si>
  <si>
    <t>Seniority</t>
  </si>
  <si>
    <t>YTW</t>
  </si>
  <si>
    <t>OAS (LIBOR)</t>
  </si>
  <si>
    <t>ST Debt</t>
  </si>
  <si>
    <t>Current Portion Of LTD</t>
  </si>
  <si>
    <t>USD</t>
  </si>
  <si>
    <t>Other</t>
  </si>
  <si>
    <t>Revolving Credit</t>
  </si>
  <si>
    <t>FDS1OTGB4</t>
  </si>
  <si>
    <t>Senior Unsec. Revolving Credit Facility</t>
  </si>
  <si>
    <t>Variable</t>
  </si>
  <si>
    <t>09/2021</t>
  </si>
  <si>
    <t>09/2026</t>
  </si>
  <si>
    <t>SNR Unsec</t>
  </si>
  <si>
    <t>_</t>
  </si>
  <si>
    <t>Notes/Bonds</t>
  </si>
  <si>
    <t>075887BU2</t>
  </si>
  <si>
    <t>Becton Dickinson &amp; Co - FRN</t>
  </si>
  <si>
    <t>06/2017</t>
  </si>
  <si>
    <t>06/2022</t>
  </si>
  <si>
    <t>075887BN8</t>
  </si>
  <si>
    <t>Becton Dickinson &amp; Co - 500M EUR</t>
  </si>
  <si>
    <t>Fixed</t>
  </si>
  <si>
    <t>12/2016</t>
  </si>
  <si>
    <t>EUR</t>
  </si>
  <si>
    <t>075887CH0</t>
  </si>
  <si>
    <t>Becton Dickinson &amp; Co - MTN - 300M EUR</t>
  </si>
  <si>
    <t>05/2018</t>
  </si>
  <si>
    <t>05/2023</t>
  </si>
  <si>
    <t>075887CM9</t>
  </si>
  <si>
    <t>Becton Dickinson &amp; Co - 400M EUR</t>
  </si>
  <si>
    <t>08/2021</t>
  </si>
  <si>
    <t>08/2023</t>
  </si>
  <si>
    <t>07589LAB3</t>
  </si>
  <si>
    <t>Becton Dickinson Euro Finance SARL - 800M EUR</t>
  </si>
  <si>
    <t>06/2019</t>
  </si>
  <si>
    <t>06/2023</t>
  </si>
  <si>
    <t>075887BL2</t>
  </si>
  <si>
    <t>Becton Dickinson &amp; Co</t>
  </si>
  <si>
    <t>04/2015</t>
  </si>
  <si>
    <t>05/2024</t>
  </si>
  <si>
    <t>075887BF5</t>
  </si>
  <si>
    <t>12/2014</t>
  </si>
  <si>
    <t>12/2024</t>
  </si>
  <si>
    <t>075887BV0</t>
  </si>
  <si>
    <t>06/2024</t>
  </si>
  <si>
    <t>075887CG2</t>
  </si>
  <si>
    <t>Becton Dickinson &amp; Co - 250M GBP</t>
  </si>
  <si>
    <t>05/2025</t>
  </si>
  <si>
    <t>GBP</t>
  </si>
  <si>
    <t>075887CN7</t>
  </si>
  <si>
    <t>08/2025</t>
  </si>
  <si>
    <t>067383AA7</t>
  </si>
  <si>
    <t>CR Bard Inc</t>
  </si>
  <si>
    <t>12/1996</t>
  </si>
  <si>
    <t>12/2026</t>
  </si>
  <si>
    <t>075887CE7</t>
  </si>
  <si>
    <t>04/2018</t>
  </si>
  <si>
    <t>075887BP3</t>
  </si>
  <si>
    <t>07589LAC1</t>
  </si>
  <si>
    <t>Becton Dickinson Euro Finance SARL - 600M EUR</t>
  </si>
  <si>
    <t>06/2026</t>
  </si>
  <si>
    <t>075887AN9</t>
  </si>
  <si>
    <t>07/1997</t>
  </si>
  <si>
    <t>08/2027</t>
  </si>
  <si>
    <t>075887BW8</t>
  </si>
  <si>
    <t>06/2027</t>
  </si>
  <si>
    <t>075887AQ2</t>
  </si>
  <si>
    <t>08/1998</t>
  </si>
  <si>
    <t>08/2028</t>
  </si>
  <si>
    <t>L076BMAB2</t>
  </si>
  <si>
    <t>Becton Dickinson Euro Finance SARL - 900M EUR</t>
  </si>
  <si>
    <t>075887CJ6</t>
  </si>
  <si>
    <t>05/2020</t>
  </si>
  <si>
    <t>05/2030</t>
  </si>
  <si>
    <t>075887CL1</t>
  </si>
  <si>
    <t>02/2021</t>
  </si>
  <si>
    <t>02/2031</t>
  </si>
  <si>
    <t>07589LAD9</t>
  </si>
  <si>
    <t>Becton Dickinson &amp; Co - 600M EUR</t>
  </si>
  <si>
    <t>02/2036</t>
  </si>
  <si>
    <t>075887AV1</t>
  </si>
  <si>
    <t>05/2009</t>
  </si>
  <si>
    <t>05/2039</t>
  </si>
  <si>
    <t>075887AX7</t>
  </si>
  <si>
    <t>11/2010</t>
  </si>
  <si>
    <t>11/2040</t>
  </si>
  <si>
    <t>L076BMAA4</t>
  </si>
  <si>
    <t>08/2041</t>
  </si>
  <si>
    <t>075887BM0</t>
  </si>
  <si>
    <t>05/2044</t>
  </si>
  <si>
    <t>075887BG3</t>
  </si>
  <si>
    <t>12/2044</t>
  </si>
  <si>
    <t>075887BX6</t>
  </si>
  <si>
    <t>06/2047</t>
  </si>
  <si>
    <t>075887CK3</t>
  </si>
  <si>
    <t>05/2050</t>
  </si>
  <si>
    <t>Unamortized Issuance Costs - Senior Unsecured Notes</t>
  </si>
  <si>
    <t>LT Debt Total</t>
  </si>
  <si>
    <t>Current Portion of LTD</t>
  </si>
  <si>
    <t>Net LT Debt Total</t>
  </si>
  <si>
    <t>ST Debt Total</t>
  </si>
  <si>
    <t>Total Debt</t>
  </si>
  <si>
    <t>Data as of 18 Mar '22</t>
  </si>
  <si>
    <t xml:space="preserve"> Amount Outstanding in millions of USD</t>
  </si>
  <si>
    <t>Source: FactSet DCS and FactSet Fixed Income</t>
  </si>
  <si>
    <t>* The current total debt outstanding value is not considered a reconciled amount.  Activity is determined on a transactional basis and there can be events that may affect amounts that are not disclosed until the next filing date.</t>
  </si>
  <si>
    <t>Book Value</t>
  </si>
  <si>
    <t>Price(as % of par)</t>
  </si>
  <si>
    <t>Market Value</t>
  </si>
  <si>
    <t>MV percentage of Total Debt</t>
  </si>
  <si>
    <t>YTW(%)</t>
  </si>
  <si>
    <t>Cost of debt</t>
  </si>
  <si>
    <t>Open</t>
  </si>
  <si>
    <t>High</t>
  </si>
  <si>
    <t>Low</t>
  </si>
  <si>
    <t>Close</t>
  </si>
  <si>
    <t>Adj Close</t>
  </si>
  <si>
    <t>Volume</t>
  </si>
  <si>
    <t>Return for Beckton dickinson</t>
  </si>
  <si>
    <t>Close*</t>
  </si>
  <si>
    <t>Adj Close**</t>
  </si>
  <si>
    <t>Market Return</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</si>
  <si>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</si>
  <si>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</si>
  <si>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</si>
  <si>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</si>
  <si>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</si>
  <si>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</si>
  <si>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</si>
  <si>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</si>
  <si>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</si>
  <si>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</si>
  <si>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</si>
  <si>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</si>
  <si>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</si>
  <si>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</si>
  <si>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</si>
  <si>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</si>
  <si>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</si>
  <si>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</si>
  <si>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</si>
  <si>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</si>
  <si>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</si>
  <si>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</si>
  <si>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</si>
  <si>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Risk Free</t>
  </si>
  <si>
    <t>Risk Premium</t>
  </si>
  <si>
    <t>Assumption 30</t>
  </si>
  <si>
    <t>Total Equity(in millions)</t>
  </si>
  <si>
    <t>weight of equitiy</t>
  </si>
  <si>
    <t>Total Debt(in millions)</t>
  </si>
  <si>
    <t>weight of debt</t>
  </si>
  <si>
    <t>Tax rate</t>
  </si>
  <si>
    <t>DE Ratio</t>
  </si>
  <si>
    <t>Restated</t>
  </si>
  <si>
    <t>D&amp;A as % of revenue is used in our model since it is relatively stable over the years and D&amp;A has a higher correlation with revenue compared to Net PPE.</t>
  </si>
  <si>
    <t>Statutory US tax rate in 2021 is 21%.</t>
  </si>
  <si>
    <t>The effective tax rate is much lower than federal statutory tax rate each year due to different foreign income tax on its foreign income (See BD Annual Report 2021 Note 16 - Income Taxes pg 99 and BD Annual Report 2018 Note 16 - Income Taxes pg 97). Since there is very high variability in the effective tax rate and we cannot reasonably predict the changes in the tax rates for each foreign country that BD operates in, we assume the US statutory tax rate of 21%.</t>
  </si>
  <si>
    <t>Bull Case</t>
  </si>
  <si>
    <t>Increased revenue growth by .25 percentage points in bull case supported by an increase in the aging baby boomer population, an increase in chronic disease prevalence, and an assumed increase in elective procesures as virus eliminates all increasing demand.</t>
  </si>
  <si>
    <t>D&amp;A as a % of revenue increases in Bear case as the company is investing in fixed assets as seen in the cash flow statement.</t>
  </si>
  <si>
    <t>Located comparable companies through Factset, filtering through General Medical Devices in the North American region, with market caps over 10,000,000</t>
  </si>
  <si>
    <t>The BD Life Sciences Segment experienced tremendous growth in revenues in FY2021 largely due to its COVID testing systems. The FY2022 is adjusted down to be the historical growth rate as demand for testing kits is expected to decrease as the pandemic conditions are anticipated to improve. We then further decreased the growth rate in FY2022 by 5% due to a product recall of Alaris which accounts for a large portion of the Medical Segment revenues. Although the liabilities incurred from the recall are only around $156 million with respect to remediation costs (BD Annual Report 2021 page 28), we assume that there will be lost sales due to its impact on customer perception and decreased ESG reporting score. The FY2023, FY2024, FY2025 and FY2026 annual growth rates take the average of the growth rates from FY2017-FY2020, which excludes the high demand in FY2021, and is further adjusted downward to account for the Alaris product recall (BD Annual Report 2021 pg. 21).</t>
  </si>
  <si>
    <t>Increased COGS as % of revenue  in Bear case by 3 percentage points relating to increased supply chain challenges, higher shipping costs, and cost inflation.</t>
  </si>
  <si>
    <t>Increasing OPEX as % of revenue in Bear case due to continued inflation, higher supply chain challenges, and higher shipping costs.</t>
  </si>
  <si>
    <t>OpEx as a % of revenue in the Bull case decreases by 1 percentage point as supported in successfully cutting operational expenses.</t>
  </si>
  <si>
    <t>CAPEX as % of revenue is used in our model since it is relatively stable over the years and it is highly correlated with revenue. We increased CAPEX as a % of revenue by 2% of the previous year as the CAPEX has been increasing each year from 2016 to 2021, with the exception of 2020 which was affected by the COVID-19 pandemic. Furthermore, management has expressed its strategy of geographic expansion which supports our assumption. (BD Annual Report 2021 page 39)</t>
  </si>
  <si>
    <t>It is more reasonable to use change in NWC as a % of revenue since the annual growth rate is very volatile with a high standard deviation.</t>
  </si>
  <si>
    <t>COGS as % of revenue is used in our model since it is relatively stable over the years and it is highly correlated with revenue. There are significant inflation pressures which are expected to increase the prices of raw materials. It is also stated in BD's 2021 Annual Report that costs of raw materials, transportation, construction and other necessary costs for production and distribution of products have increased significantly. These pressures on its supply chain are expected to continue to increase. Therefore, we have adjusted the COGS as a % of revenue to be 3% higher than the historical average from 2016-2021. (BD Annual Report 2021 page 15)</t>
  </si>
  <si>
    <t>OpEx as % of revenue is used in our model since it is relatively stable over the years and it is highly correlated with revenue. We then adjusted the cost to be a higher percentage as BD's costs are anticipated to increase. Firstly, the EU has recently adopted the EU Medical Device Regulation and the In Vitro Diagnostic Regulation which impose strict requirements for the marketing and sale of medical devices. Compliance and maintenance of medical devices subject to these regulations will increase operating expenses (BD Annual Report 2021 page 18). As mentioned in assumption 2, BD is subject to high inflation pressures which are expected to increase its operating expenses. In addition, the higher transportation and shipping costs as outlined in assumption 2 are expected to increase selling and administrative expenses. Overall, to account for these inflationary pressures on BD's costs, we have increased the OpEx as a % of revenues by 4% compared to the historical average.</t>
  </si>
  <si>
    <t>COGS as % of revenue in the Bull case is decreased by 1 percentage point as supported in the company successfully cutting manufacturing and supplier costs.</t>
  </si>
  <si>
    <t>We assume that D&amp;A as a % of revenue decreases in the Bull case by one percentage point.</t>
  </si>
  <si>
    <t>We assume that CAPEX as a % of revenue in the Bull case decreases by 0.2 percentage points. We adjust for a small decrease as we believe that it is unlikely that the firm will decrease capital expenditures based on its increased spending on capital expenditures in the past few years.</t>
  </si>
  <si>
    <t>Effective tax rate decreases in the Bull case to account for possible decrease compared to the statutory rate, especially due to foreign tax rate fluctuations.</t>
  </si>
  <si>
    <t>Revenue growth decreases in Bear market as explained potentially due to maturing product lines and inability of company to continually reinnovate.</t>
  </si>
  <si>
    <t xml:space="preserve">We assume in the Bear case that capital expenditures as % of revenue increases by 2 percentage points as it is probable that capital expenditures will increase based on the historical trend of increased capital expenditures over the years. </t>
  </si>
  <si>
    <t>We assume that net working capital as % of revenue increases by 0.5 percentage points in the Bull case.</t>
  </si>
  <si>
    <t>In the Bear case, we assume that the change in NWC as % of revenue decreases by 0.5 percentage points.</t>
  </si>
  <si>
    <t>In the Bear case, effective tax rate increases to account for possible increase compared to the statutory rate, especially due to foreign tax rate fluctuations.</t>
  </si>
  <si>
    <t>The revenue growth rate is based on each segment's historical growth rate subject to adjustments based on current market conditions and future prospects.</t>
  </si>
  <si>
    <t>Arisa Akiyama 1005763238</t>
  </si>
  <si>
    <t>Sahand Davari 1007130230</t>
  </si>
  <si>
    <t>Majd Hijazi 1005691020</t>
  </si>
  <si>
    <t>Victoria Magowan 1005152521</t>
  </si>
  <si>
    <t>Zhenyu Wang 1007072089</t>
  </si>
  <si>
    <t>Yuchen Zhang 1005727830</t>
  </si>
  <si>
    <t>Table of Contents:</t>
  </si>
  <si>
    <t>Sheet 1: Assumptions Explanation</t>
  </si>
  <si>
    <t xml:space="preserve">Sheet 2: Inputs </t>
  </si>
  <si>
    <t>Sheet 3: Historical Analysis</t>
  </si>
  <si>
    <t>Sheet 4: Revenue Model</t>
  </si>
  <si>
    <t>Sheet 5: DCF Valuation</t>
  </si>
  <si>
    <t>Sheet 6: Comparables</t>
  </si>
  <si>
    <t>Sheet 8: Cost of Debt</t>
  </si>
  <si>
    <t>Sheet 9: Cost of Equity</t>
  </si>
  <si>
    <t>Sheet 10: WACC</t>
  </si>
  <si>
    <t>Sheet 11-14: BD Financials</t>
  </si>
  <si>
    <t xml:space="preserve">Analysts: </t>
  </si>
  <si>
    <t>BD (BDX) Valuation - Group 23</t>
  </si>
  <si>
    <t>Benchmark 10 year American treasury yield as of March 25th, 2022. (see screenshort below)</t>
  </si>
  <si>
    <t>Sheet 7: BD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</si>
</sst>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164" formatCode="#,##0.0"/>
    <numFmt numFmtId="165" formatCode="#,##0.00\x"/>
    <numFmt numFmtId="166" formatCode="0.0%"/>
    <numFmt numFmtId="167" formatCode="0.0\x"/>
    <numFmt numFmtId="168" formatCode="&quot;FY&quot;#\A"/>
    <numFmt numFmtId="169" formatCode="&quot;FY&quot;#\E"/>
    <numFmt numFmtId="170" formatCode="_(* #,##0.0_);_(* \(#,##0.0\)_)\ ;_(* 0_)"/>
    <numFmt numFmtId="171" formatCode="#,##0.00;\(#,##0.00\);&quot;-&quot;"/>
    <numFmt numFmtId="172" formatCode="#,##0;\(#,##0\);&quot;-&quot;"/>
    <numFmt numFmtId="173" formatCode="#,##0.0000"/>
    <numFmt numFmtId="174" formatCode="0.00000%"/>
    <numFmt numFmtId="175" formatCode="##"/>
    <numFmt numFmtId="176" formatCode="#,0##.0"/>
    <numFmt numFmtId="177" formatCode="0.0"/>
    <numFmt numFmtId="178" formatCode="##,#0#.#"/>
    <numFmt numFmtId="179" formatCode="#00.0"/>
    <numFmt numFmtId="180" formatCode="#00.0#"/>
    <numFmt numFmtId="181" formatCode="#.##"/>
    <numFmt numFmtId="182" formatCode="#0.#0"/>
    <numFmt numFmtId="183" formatCode="###.#"/>
    <numFmt numFmtId="184" formatCode="#.000%"/>
    <numFmt numFmtId="185" formatCode="#00.#0"/>
    <numFmt numFmtId="186" formatCode="0.0#"/>
    <numFmt numFmtId="187" formatCode="##.##"/>
    <numFmt numFmtId="188" formatCode="#.#0#%"/>
    <numFmt numFmtId="189" formatCode="#0#.##"/>
    <numFmt numFmtId="190" formatCode="0.##"/>
    <numFmt numFmtId="191" formatCode="#0#.#"/>
    <numFmt numFmtId="192" formatCode="0.###%"/>
    <numFmt numFmtId="193" formatCode="#00.##"/>
    <numFmt numFmtId="194" formatCode="#.###%"/>
    <numFmt numFmtId="195" formatCode="#.0#"/>
    <numFmt numFmtId="196" formatCode="#0.##"/>
    <numFmt numFmtId="197" formatCode="###.0"/>
    <numFmt numFmtId="198" formatCode="#0#.0#"/>
    <numFmt numFmtId="199" formatCode="##.0#"/>
    <numFmt numFmtId="200" formatCode="#0#.#0"/>
    <numFmt numFmtId="201" formatCode="#.0#0%"/>
    <numFmt numFmtId="202" formatCode="0.0##%"/>
    <numFmt numFmtId="203" formatCode="##.#"/>
    <numFmt numFmtId="204" formatCode="#.#00%"/>
    <numFmt numFmtId="205" formatCode="###.##"/>
    <numFmt numFmtId="206" formatCode="#.#0"/>
    <numFmt numFmtId="207" formatCode="##0.0#"/>
    <numFmt numFmtId="208" formatCode="#,###.0"/>
    <numFmt numFmtId="209" formatCode="##.#0"/>
    <numFmt numFmtId="210" formatCode="###.#0"/>
    <numFmt numFmtId="211" formatCode="#,0##.#"/>
    <numFmt numFmtId="212" formatCode="##0.0"/>
    <numFmt numFmtId="213" formatCode="#,000.0"/>
    <numFmt numFmtId="214" formatCode="##.00"/>
    <numFmt numFmtId="215" formatCode="#,#00.0"/>
    <numFmt numFmtId="216" formatCode="##,###.0"/>
    <numFmt numFmtId="217" formatCode="##,##0.0"/>
    <numFmt numFmtId="218" formatCode="#,##0.00000"/>
    <numFmt numFmtId="219" formatCode="0.0000%"/>
  </numFmts>
  <fonts count="32" x14ac:knownFonts="1">
    <font>
      <sz val="12"/>
      <color theme="1"/>
      <name val="Calibri"/>
      <family val="2"/>
      <scheme val="minor"/>
    </font>
    <font>
      <sz val="12"/>
      <color theme="1"/>
      <name val="Calibri"/>
      <family val="2"/>
      <scheme val="minor"/>
    </font>
    <font>
      <b/>
      <sz val="10"/>
      <color theme="1"/>
      <name val="Arial"/>
      <family val="2"/>
    </font>
    <font>
      <sz val="10"/>
      <color theme="0"/>
      <name val="Calibri Light"/>
      <family val="2"/>
      <scheme val="major"/>
    </font>
    <font>
      <sz val="10"/>
      <color theme="1"/>
      <name val="Calibri Light"/>
      <family val="2"/>
      <scheme val="major"/>
    </font>
    <font>
      <sz val="10"/>
      <color rgb="FF0000FF"/>
      <name val="Calibri Light"/>
      <family val="2"/>
      <scheme val="major"/>
    </font>
    <font>
      <sz val="10"/>
      <name val="Calibri Light"/>
      <family val="2"/>
      <scheme val="major"/>
    </font>
    <font>
      <sz val="10"/>
      <color indexed="8"/>
      <name val="Calibri Light"/>
      <family val="2"/>
      <scheme val="major"/>
    </font>
    <font>
      <b/>
      <sz val="10"/>
      <color theme="1"/>
      <name val="Calibri Light"/>
      <family val="2"/>
      <scheme val="major"/>
    </font>
    <font>
      <sz val="10"/>
      <color theme="2"/>
      <name val="Calibri Light"/>
      <family val="2"/>
      <scheme val="major"/>
    </font>
    <font>
      <u/>
      <sz val="12"/>
      <color theme="10"/>
      <name val="Calibri"/>
      <family val="2"/>
      <scheme val="minor"/>
    </font>
    <font>
      <i/>
      <sz val="10"/>
      <color theme="1"/>
      <name val="Calibri Light"/>
      <family val="2"/>
      <scheme val="major"/>
    </font>
    <font>
      <sz val="10"/>
      <color theme="1"/>
      <name val="Arial"/>
      <family val="2"/>
    </font>
    <font>
      <sz val="10"/>
      <color rgb="FF646464"/>
      <name val="Arial"/>
      <family val="2"/>
    </font>
    <font>
      <b/>
      <sz val="10"/>
      <color rgb="FF003366"/>
      <name val="Arial"/>
      <family val="2"/>
    </font>
    <font>
      <sz val="10"/>
      <color rgb="FFFF0000"/>
      <name val="Arial"/>
      <family val="2"/>
    </font>
    <font>
      <i/>
      <sz val="10"/>
      <name val="Calibri Light"/>
      <family val="2"/>
      <scheme val="major"/>
    </font>
    <font>
      <u/>
      <sz val="10"/>
      <color theme="10"/>
      <name val="Calibri"/>
      <family val="2"/>
      <scheme val="minor"/>
    </font>
    <font>
      <b/>
      <sz val="10"/>
      <name val="Calibri Light"/>
      <family val="2"/>
      <scheme val="major"/>
    </font>
    <font>
      <u/>
      <sz val="10"/>
      <color theme="10"/>
      <name val="Calibri Light"/>
      <family val="2"/>
      <scheme val="major"/>
    </font>
    <font>
      <sz val="10"/>
      <color theme="1"/>
      <name val="Calibri"/>
      <family val="2"/>
      <scheme val="minor"/>
    </font>
    <font>
      <sz val="10"/>
      <color rgb="FF232A31"/>
      <name val="Calibri Light"/>
      <family val="2"/>
      <scheme val="major"/>
    </font>
    <font>
      <b/>
      <sz val="10"/>
      <color rgb="FF003366"/>
      <name val="Calibri Light"/>
      <family val="2"/>
      <scheme val="major"/>
    </font>
    <font>
      <sz val="10"/>
      <color rgb="FFFF0000"/>
      <name val="Calibri Light"/>
      <family val="2"/>
      <scheme val="major"/>
    </font>
    <font>
      <sz val="10"/>
      <color rgb="FF646464"/>
      <name val="Calibri Light"/>
      <family val="2"/>
      <scheme val="major"/>
    </font>
    <font>
      <sz val="10"/>
      <color rgb="FF000000"/>
      <name val="Calibri Light"/>
      <family val="2"/>
    </font>
    <font>
      <sz val="10"/>
      <color rgb="FFFFFFFF"/>
      <name val="Calibri Light"/>
      <family val="2"/>
    </font>
    <font>
      <b/>
      <sz val="10"/>
      <color rgb="FF000000"/>
      <name val="Calibri Light"/>
      <family val="2"/>
    </font>
    <font>
      <sz val="12"/>
      <color theme="1"/>
      <name val="Calibri Light"/>
      <family val="2"/>
      <scheme val="major"/>
    </font>
    <font>
      <sz val="12"/>
      <color rgb="FF000000"/>
      <name val="Calibri Light"/>
      <family val="2"/>
      <scheme val="major"/>
    </font>
    <font>
      <b/>
      <u/>
      <sz val="12"/>
      <color theme="1"/>
      <name val="Calibri Light"/>
      <family val="2"/>
      <scheme val="major"/>
    </font>
    <font>
      <b/>
      <sz val="14"/>
      <color theme="1"/>
      <name val="Calibri Light"/>
      <family val="2"/>
      <scheme val="major"/>
    </font>
  </fonts>
  <fills count="16">
    <fill>
      <patternFill patternType="none"/>
    </fill>
    <fill>
      <patternFill patternType="gray125"/>
    </fill>
    <fill>
      <patternFill patternType="solid">
        <fgColor rgb="FFC8C8C8"/>
        <bgColor indexed="64"/>
      </patternFill>
    </fill>
    <fill>
      <patternFill patternType="solid">
        <fgColor rgb="FFF0F0F0"/>
        <bgColor indexed="64"/>
      </patternFill>
    </fill>
    <fill>
      <patternFill patternType="solid">
        <fgColor rgb="FFFFFF00"/>
        <bgColor indexed="64"/>
      </patternFill>
    </fill>
    <fill>
      <patternFill patternType="solid">
        <fgColor theme="6"/>
        <bgColor indexed="64"/>
      </patternFill>
    </fill>
    <fill>
      <patternFill patternType="solid">
        <fgColor rgb="FFE7E6E6"/>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34998626667073579"/>
        <bgColor indexed="64"/>
      </patternFill>
    </fill>
    <fill>
      <patternFill patternType="solid">
        <fgColor rgb="FFF2F2F2"/>
        <bgColor indexed="64"/>
      </patternFill>
    </fill>
    <fill>
      <patternFill patternType="solid">
        <fgColor theme="6" tint="0.79998168889431442"/>
        <bgColor indexed="64"/>
      </patternFill>
    </fill>
    <fill>
      <patternFill patternType="solid">
        <fgColor rgb="FFEDEDED"/>
        <bgColor indexed="64"/>
      </patternFill>
    </fill>
    <fill>
      <patternFill patternType="solid">
        <fgColor rgb="FFD0CECE"/>
        <bgColor indexed="64"/>
      </patternFill>
    </fill>
    <fill>
      <patternFill patternType="solid">
        <fgColor rgb="FFA5A5A5"/>
        <bgColor indexed="64"/>
      </patternFill>
    </fill>
    <fill>
      <patternFill patternType="solid">
        <fgColor rgb="FFFFFFFF"/>
        <bgColor indexed="64"/>
      </patternFill>
    </fill>
  </fills>
  <borders count="19">
    <border>
      <left/>
      <right/>
      <top/>
      <bottom/>
      <diagonal/>
    </border>
    <border>
      <left/>
      <right/>
      <top/>
      <bottom style="thin">
        <color rgb="FF000000"/>
      </bottom>
      <diagonal/>
    </border>
    <border>
      <left/>
      <right/>
      <top style="thin">
        <color rgb="FF000000"/>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right style="thin">
        <color rgb="FF000000"/>
      </right>
      <top/>
      <bottom/>
      <diagonal/>
    </border>
    <border>
      <left/>
      <right style="thin">
        <color rgb="FF000000"/>
      </right>
      <top/>
      <bottom style="thin">
        <color rgb="FF000000"/>
      </bottom>
      <diagonal/>
    </border>
  </borders>
  <cellStyleXfs count="5">
    <xf numFmtId="0" fontId="0" fillId="0" borderId="0"/>
    <xf numFmtId="9" fontId="1" fillId="0" borderId="0" applyFont="0" applyFill="0" applyBorder="0" applyAlignment="0" applyProtection="0"/>
    <xf numFmtId="0" fontId="10" fillId="0" borderId="0" applyNumberFormat="0" applyFill="0" applyBorder="0" applyAlignment="0" applyProtection="0"/>
    <xf numFmtId="0" fontId="12" fillId="0" borderId="0"/>
    <xf numFmtId="9" fontId="12" fillId="0" borderId="0" applyFont="0" applyFill="0" applyBorder="0" applyAlignment="0" applyProtection="0"/>
  </cellStyleXfs>
  <cellXfs count="384">
    <xf numFmtId="0" fontId="0" fillId="0" borderId="0" xfId="0"/>
    <xf numFmtId="0" fontId="0" fillId="3" borderId="0" xfId="0" applyFill="1" applyAlignment="1">
      <alignment horizontal="left"/>
    </xf>
    <xf numFmtId="164" fontId="0" fillId="3" borderId="0" xfId="0" applyNumberFormat="1" applyFill="1" applyAlignment="1">
      <alignment horizontal="right"/>
    </xf>
    <xf numFmtId="165" fontId="0" fillId="3" borderId="0" xfId="0" applyNumberFormat="1" applyFill="1" applyAlignment="1">
      <alignment horizontal="right"/>
    </xf>
    <xf numFmtId="0" fontId="0" fillId="0" borderId="0" xfId="0" applyAlignment="1">
      <alignment horizontal="left"/>
    </xf>
    <xf numFmtId="164" fontId="0" fillId="0" borderId="0" xfId="0" applyNumberFormat="1" applyAlignment="1">
      <alignment horizontal="right"/>
    </xf>
    <xf numFmtId="165" fontId="0" fillId="0" borderId="0" xfId="0" applyNumberFormat="1" applyAlignment="1">
      <alignment horizontal="right"/>
    </xf>
    <xf numFmtId="165" fontId="0" fillId="4" borderId="0" xfId="0" applyNumberFormat="1" applyFill="1" applyAlignment="1">
      <alignment horizontal="right"/>
    </xf>
    <xf numFmtId="0" fontId="3" fillId="5" borderId="0" xfId="0" applyFont="1" applyFill="1"/>
    <xf numFmtId="0" fontId="4" fillId="0" borderId="0" xfId="0" applyFont="1"/>
    <xf numFmtId="0" fontId="4" fillId="0" borderId="0" xfId="0" quotePrefix="1" applyFont="1"/>
    <xf numFmtId="0" fontId="3" fillId="5" borderId="3" xfId="0" applyFont="1" applyFill="1" applyBorder="1"/>
    <xf numFmtId="0" fontId="4" fillId="0" borderId="3" xfId="0" applyFont="1" applyBorder="1"/>
    <xf numFmtId="0" fontId="4" fillId="3" borderId="4" xfId="0" applyFont="1" applyFill="1" applyBorder="1"/>
    <xf numFmtId="0" fontId="7" fillId="0" borderId="0" xfId="0" applyFont="1" applyAlignment="1">
      <alignment horizontal="left" vertical="top"/>
    </xf>
    <xf numFmtId="170" fontId="7" fillId="0" borderId="0" xfId="0" applyNumberFormat="1" applyFont="1" applyAlignment="1">
      <alignment horizontal="right" vertical="top" wrapText="1"/>
    </xf>
    <xf numFmtId="164" fontId="4" fillId="0" borderId="7" xfId="0" applyNumberFormat="1" applyFont="1" applyBorder="1"/>
    <xf numFmtId="0" fontId="8" fillId="0" borderId="0" xfId="0" applyFont="1"/>
    <xf numFmtId="10" fontId="6" fillId="0" borderId="7" xfId="0" applyNumberFormat="1" applyFont="1" applyBorder="1"/>
    <xf numFmtId="0" fontId="4" fillId="0" borderId="7" xfId="0" applyFont="1" applyBorder="1"/>
    <xf numFmtId="4" fontId="4" fillId="3" borderId="8" xfId="0" applyNumberFormat="1" applyFont="1" applyFill="1" applyBorder="1"/>
    <xf numFmtId="0" fontId="9" fillId="0" borderId="0" xfId="0" applyFont="1" applyAlignment="1">
      <alignment horizontal="center"/>
    </xf>
    <xf numFmtId="172" fontId="4" fillId="0" borderId="0" xfId="0" applyNumberFormat="1" applyFont="1"/>
    <xf numFmtId="166" fontId="6" fillId="0" borderId="0" xfId="1" applyNumberFormat="1" applyFont="1" applyFill="1" applyBorder="1" applyAlignment="1">
      <alignment horizontal="right"/>
    </xf>
    <xf numFmtId="10" fontId="6" fillId="0" borderId="0" xfId="1" applyNumberFormat="1" applyFont="1" applyFill="1" applyBorder="1" applyAlignment="1">
      <alignment horizontal="right"/>
    </xf>
    <xf numFmtId="3" fontId="4" fillId="0" borderId="0" xfId="0" applyNumberFormat="1" applyFont="1"/>
    <xf numFmtId="3" fontId="11" fillId="0" borderId="0" xfId="0" applyNumberFormat="1" applyFont="1"/>
    <xf numFmtId="0" fontId="12" fillId="0" borderId="0" xfId="3"/>
    <xf numFmtId="0" fontId="13" fillId="0" borderId="0" xfId="3" applyFont="1" applyAlignment="1">
      <alignment horizontal="left"/>
    </xf>
    <xf numFmtId="3" fontId="12" fillId="3" borderId="0" xfId="3" applyNumberFormat="1" applyFill="1" applyAlignment="1">
      <alignment horizontal="right"/>
    </xf>
    <xf numFmtId="0" fontId="12" fillId="3" borderId="0" xfId="3" applyFill="1" applyAlignment="1">
      <alignment horizontal="left" indent="4"/>
    </xf>
    <xf numFmtId="3" fontId="12" fillId="0" borderId="0" xfId="3" applyNumberFormat="1" applyAlignment="1">
      <alignment horizontal="right"/>
    </xf>
    <xf numFmtId="0" fontId="12" fillId="0" borderId="0" xfId="3" applyAlignment="1">
      <alignment horizontal="left" indent="4"/>
    </xf>
    <xf numFmtId="3" fontId="14" fillId="3" borderId="0" xfId="3" applyNumberFormat="1" applyFont="1" applyFill="1" applyAlignment="1">
      <alignment horizontal="right"/>
    </xf>
    <xf numFmtId="0" fontId="14" fillId="3" borderId="0" xfId="3" applyFont="1" applyFill="1" applyAlignment="1">
      <alignment horizontal="left" indent="3"/>
    </xf>
    <xf numFmtId="0" fontId="14" fillId="0" borderId="0" xfId="3" applyFont="1" applyAlignment="1">
      <alignment horizontal="left"/>
    </xf>
    <xf numFmtId="164" fontId="12" fillId="3" borderId="0" xfId="3" applyNumberFormat="1" applyFill="1" applyAlignment="1">
      <alignment horizontal="right"/>
    </xf>
    <xf numFmtId="4" fontId="14" fillId="0" borderId="0" xfId="3" applyNumberFormat="1" applyFont="1" applyAlignment="1">
      <alignment horizontal="right"/>
    </xf>
    <xf numFmtId="0" fontId="14" fillId="0" borderId="0" xfId="3" applyFont="1" applyAlignment="1">
      <alignment horizontal="left" indent="3"/>
    </xf>
    <xf numFmtId="4" fontId="12" fillId="3" borderId="0" xfId="3" applyNumberFormat="1" applyFill="1" applyAlignment="1">
      <alignment horizontal="right"/>
    </xf>
    <xf numFmtId="0" fontId="12" fillId="3" borderId="0" xfId="3" applyFill="1" applyAlignment="1">
      <alignment horizontal="left"/>
    </xf>
    <xf numFmtId="0" fontId="12" fillId="3" borderId="0" xfId="3" applyFill="1" applyAlignment="1">
      <alignment horizontal="left" indent="1"/>
    </xf>
    <xf numFmtId="4" fontId="12" fillId="0" borderId="0" xfId="3" applyNumberFormat="1" applyAlignment="1">
      <alignment horizontal="right"/>
    </xf>
    <xf numFmtId="4" fontId="14" fillId="3" borderId="0" xfId="3" applyNumberFormat="1" applyFont="1" applyFill="1" applyAlignment="1">
      <alignment horizontal="right"/>
    </xf>
    <xf numFmtId="0" fontId="12" fillId="0" borderId="0" xfId="3" applyAlignment="1">
      <alignment horizontal="left" indent="1"/>
    </xf>
    <xf numFmtId="3" fontId="14" fillId="0" borderId="0" xfId="3" applyNumberFormat="1" applyFont="1" applyAlignment="1">
      <alignment horizontal="right"/>
    </xf>
    <xf numFmtId="3" fontId="15" fillId="3" borderId="0" xfId="3" applyNumberFormat="1" applyFont="1" applyFill="1" applyAlignment="1">
      <alignment horizontal="right"/>
    </xf>
    <xf numFmtId="3" fontId="15" fillId="0" borderId="0" xfId="3" applyNumberFormat="1" applyFont="1" applyAlignment="1">
      <alignment horizontal="right"/>
    </xf>
    <xf numFmtId="0" fontId="12" fillId="0" borderId="0" xfId="3" applyAlignment="1">
      <alignment horizontal="left"/>
    </xf>
    <xf numFmtId="0" fontId="12" fillId="3" borderId="0" xfId="3" applyFill="1" applyAlignment="1">
      <alignment horizontal="left" indent="7"/>
    </xf>
    <xf numFmtId="0" fontId="12" fillId="0" borderId="0" xfId="3" applyAlignment="1">
      <alignment horizontal="left" indent="7"/>
    </xf>
    <xf numFmtId="0" fontId="14" fillId="0" borderId="0" xfId="3" applyFont="1" applyAlignment="1">
      <alignment horizontal="left" indent="6"/>
    </xf>
    <xf numFmtId="0" fontId="14" fillId="3" borderId="0" xfId="3" applyFont="1" applyFill="1" applyAlignment="1">
      <alignment horizontal="left" indent="6"/>
    </xf>
    <xf numFmtId="0" fontId="2" fillId="2" borderId="0" xfId="3" applyFont="1" applyFill="1" applyAlignment="1">
      <alignment horizontal="left"/>
    </xf>
    <xf numFmtId="0" fontId="12" fillId="0" borderId="2" xfId="3" applyBorder="1"/>
    <xf numFmtId="0" fontId="12" fillId="0" borderId="1" xfId="3" applyBorder="1"/>
    <xf numFmtId="0" fontId="2" fillId="0" borderId="0" xfId="3" applyFont="1"/>
    <xf numFmtId="0" fontId="14" fillId="3" borderId="0" xfId="3" applyFont="1" applyFill="1" applyAlignment="1">
      <alignment horizontal="left"/>
    </xf>
    <xf numFmtId="4" fontId="15" fillId="0" borderId="0" xfId="3" applyNumberFormat="1" applyFont="1" applyAlignment="1">
      <alignment horizontal="right"/>
    </xf>
    <xf numFmtId="164" fontId="12" fillId="0" borderId="0" xfId="3" applyNumberFormat="1" applyAlignment="1">
      <alignment horizontal="right"/>
    </xf>
    <xf numFmtId="164" fontId="14" fillId="0" borderId="0" xfId="3" applyNumberFormat="1" applyFont="1" applyAlignment="1">
      <alignment horizontal="right"/>
    </xf>
    <xf numFmtId="164" fontId="15" fillId="3" borderId="0" xfId="3" applyNumberFormat="1" applyFont="1" applyFill="1" applyAlignment="1">
      <alignment horizontal="right"/>
    </xf>
    <xf numFmtId="164" fontId="15" fillId="0" borderId="0" xfId="3" applyNumberFormat="1" applyFont="1" applyAlignment="1">
      <alignment horizontal="right"/>
    </xf>
    <xf numFmtId="164" fontId="14" fillId="3" borderId="0" xfId="3" applyNumberFormat="1" applyFont="1" applyFill="1" applyAlignment="1">
      <alignment horizontal="right"/>
    </xf>
    <xf numFmtId="0" fontId="3" fillId="5" borderId="5" xfId="0" applyFont="1" applyFill="1" applyBorder="1"/>
    <xf numFmtId="0" fontId="3" fillId="5" borderId="9" xfId="0" applyFont="1" applyFill="1" applyBorder="1"/>
    <xf numFmtId="0" fontId="4" fillId="0" borderId="10" xfId="0" applyFont="1" applyBorder="1"/>
    <xf numFmtId="168" fontId="3" fillId="5" borderId="0" xfId="0" applyNumberFormat="1" applyFont="1" applyFill="1" applyAlignment="1">
      <alignment horizontal="center"/>
    </xf>
    <xf numFmtId="10" fontId="6" fillId="0" borderId="7" xfId="1" applyNumberFormat="1" applyFont="1" applyFill="1" applyBorder="1" applyAlignment="1">
      <alignment horizontal="right"/>
    </xf>
    <xf numFmtId="10" fontId="4" fillId="0" borderId="7" xfId="1" applyNumberFormat="1" applyFont="1" applyBorder="1"/>
    <xf numFmtId="10" fontId="4" fillId="0" borderId="0" xfId="1" applyNumberFormat="1" applyFont="1" applyBorder="1"/>
    <xf numFmtId="0" fontId="6" fillId="0" borderId="0" xfId="0" applyFont="1"/>
    <xf numFmtId="10" fontId="6" fillId="0" borderId="0" xfId="1" applyNumberFormat="1" applyFont="1" applyFill="1" applyBorder="1"/>
    <xf numFmtId="172" fontId="6" fillId="0" borderId="0" xfId="0" applyNumberFormat="1" applyFont="1"/>
    <xf numFmtId="0" fontId="16" fillId="0" borderId="0" xfId="0" applyFont="1"/>
    <xf numFmtId="10" fontId="6" fillId="0" borderId="0" xfId="1" applyNumberFormat="1" applyFont="1" applyBorder="1"/>
    <xf numFmtId="3" fontId="6" fillId="0" borderId="0" xfId="1" applyNumberFormat="1" applyFont="1" applyFill="1" applyBorder="1"/>
    <xf numFmtId="10" fontId="16" fillId="0" borderId="0" xfId="1" applyNumberFormat="1" applyFont="1" applyFill="1" applyBorder="1" applyAlignment="1">
      <alignment horizontal="right"/>
    </xf>
    <xf numFmtId="10" fontId="16" fillId="0" borderId="0" xfId="1" applyNumberFormat="1" applyFont="1" applyFill="1" applyBorder="1"/>
    <xf numFmtId="166" fontId="6" fillId="0" borderId="0" xfId="1" applyNumberFormat="1" applyFont="1" applyFill="1" applyBorder="1"/>
    <xf numFmtId="0" fontId="4" fillId="0" borderId="0" xfId="0" applyFont="1" applyAlignment="1">
      <alignment horizontal="right" vertical="top"/>
    </xf>
    <xf numFmtId="0" fontId="4" fillId="0" borderId="0" xfId="0" applyFont="1" applyAlignment="1">
      <alignment vertical="top" wrapText="1"/>
    </xf>
    <xf numFmtId="3" fontId="6" fillId="0" borderId="0" xfId="1" applyNumberFormat="1" applyFont="1" applyFill="1" applyBorder="1" applyAlignment="1">
      <alignment horizontal="right"/>
    </xf>
    <xf numFmtId="3" fontId="6" fillId="0" borderId="12" xfId="1" applyNumberFormat="1" applyFont="1" applyFill="1" applyBorder="1" applyAlignment="1">
      <alignment horizontal="right"/>
    </xf>
    <xf numFmtId="3" fontId="6" fillId="0" borderId="12" xfId="1" applyNumberFormat="1" applyFont="1" applyFill="1" applyBorder="1"/>
    <xf numFmtId="173" fontId="6" fillId="0" borderId="0" xfId="1" applyNumberFormat="1" applyFont="1" applyFill="1" applyBorder="1" applyAlignment="1">
      <alignment horizontal="right"/>
    </xf>
    <xf numFmtId="168" fontId="3" fillId="5" borderId="6" xfId="0" applyNumberFormat="1" applyFont="1" applyFill="1" applyBorder="1" applyAlignment="1">
      <alignment horizontal="center"/>
    </xf>
    <xf numFmtId="169" fontId="3" fillId="5" borderId="6" xfId="0" applyNumberFormat="1" applyFont="1" applyFill="1" applyBorder="1" applyAlignment="1">
      <alignment horizontal="center"/>
    </xf>
    <xf numFmtId="169" fontId="3" fillId="5" borderId="9" xfId="0" applyNumberFormat="1" applyFont="1" applyFill="1" applyBorder="1" applyAlignment="1">
      <alignment horizontal="center"/>
    </xf>
    <xf numFmtId="0" fontId="6" fillId="0" borderId="3" xfId="0" applyFont="1" applyBorder="1"/>
    <xf numFmtId="0" fontId="6" fillId="0" borderId="7" xfId="0" applyFont="1" applyBorder="1"/>
    <xf numFmtId="10" fontId="6" fillId="0" borderId="7" xfId="1" applyNumberFormat="1" applyFont="1" applyFill="1" applyBorder="1"/>
    <xf numFmtId="0" fontId="6" fillId="0" borderId="10" xfId="0" applyFont="1" applyBorder="1"/>
    <xf numFmtId="10" fontId="6" fillId="0" borderId="12" xfId="1" applyNumberFormat="1" applyFont="1" applyFill="1" applyBorder="1"/>
    <xf numFmtId="10" fontId="6" fillId="0" borderId="11" xfId="1" applyNumberFormat="1" applyFont="1" applyFill="1" applyBorder="1"/>
    <xf numFmtId="10" fontId="6" fillId="0" borderId="0" xfId="0" applyNumberFormat="1" applyFont="1"/>
    <xf numFmtId="168" fontId="3" fillId="5" borderId="9" xfId="0" applyNumberFormat="1" applyFont="1" applyFill="1" applyBorder="1" applyAlignment="1">
      <alignment horizontal="center"/>
    </xf>
    <xf numFmtId="0" fontId="8" fillId="0" borderId="3" xfId="0" applyFont="1" applyBorder="1"/>
    <xf numFmtId="10" fontId="6" fillId="0" borderId="7" xfId="1" applyNumberFormat="1" applyFont="1" applyBorder="1"/>
    <xf numFmtId="3" fontId="6" fillId="0" borderId="7" xfId="1" applyNumberFormat="1" applyFont="1" applyFill="1" applyBorder="1"/>
    <xf numFmtId="0" fontId="11" fillId="0" borderId="3" xfId="0" applyFont="1" applyBorder="1" applyAlignment="1">
      <alignment horizontal="left" indent="1"/>
    </xf>
    <xf numFmtId="10" fontId="16" fillId="0" borderId="7" xfId="1" applyNumberFormat="1" applyFont="1" applyFill="1" applyBorder="1" applyAlignment="1">
      <alignment horizontal="right"/>
    </xf>
    <xf numFmtId="10" fontId="16" fillId="0" borderId="7" xfId="1" applyNumberFormat="1" applyFont="1" applyFill="1" applyBorder="1"/>
    <xf numFmtId="169" fontId="3" fillId="5" borderId="5" xfId="0" applyNumberFormat="1" applyFont="1" applyFill="1" applyBorder="1" applyAlignment="1">
      <alignment horizontal="center"/>
    </xf>
    <xf numFmtId="169" fontId="3" fillId="5" borderId="6" xfId="0" applyNumberFormat="1" applyFont="1" applyFill="1" applyBorder="1" applyAlignment="1">
      <alignment horizontal="center" wrapText="1"/>
    </xf>
    <xf numFmtId="169" fontId="3" fillId="5" borderId="9" xfId="0" applyNumberFormat="1" applyFont="1" applyFill="1" applyBorder="1" applyAlignment="1">
      <alignment horizontal="center" wrapText="1"/>
    </xf>
    <xf numFmtId="10" fontId="4" fillId="0" borderId="3" xfId="1" applyNumberFormat="1" applyFont="1" applyBorder="1"/>
    <xf numFmtId="10" fontId="11" fillId="0" borderId="3" xfId="1" applyNumberFormat="1" applyFont="1" applyBorder="1"/>
    <xf numFmtId="10" fontId="11" fillId="0" borderId="0" xfId="1" applyNumberFormat="1" applyFont="1" applyBorder="1"/>
    <xf numFmtId="10" fontId="11" fillId="0" borderId="7" xfId="1" applyNumberFormat="1" applyFont="1" applyBorder="1"/>
    <xf numFmtId="10" fontId="4" fillId="0" borderId="10" xfId="1" applyNumberFormat="1" applyFont="1" applyBorder="1"/>
    <xf numFmtId="10" fontId="4" fillId="0" borderId="11" xfId="1" applyNumberFormat="1" applyFont="1" applyBorder="1"/>
    <xf numFmtId="166" fontId="6" fillId="0" borderId="7" xfId="1" applyNumberFormat="1" applyFont="1" applyFill="1" applyBorder="1"/>
    <xf numFmtId="0" fontId="11" fillId="0" borderId="3" xfId="0" applyFont="1" applyBorder="1"/>
    <xf numFmtId="0" fontId="4" fillId="0" borderId="3" xfId="0" applyFont="1" applyBorder="1" applyAlignment="1">
      <alignment horizontal="left" indent="1"/>
    </xf>
    <xf numFmtId="0" fontId="11" fillId="0" borderId="10" xfId="0" applyFont="1" applyBorder="1" applyAlignment="1">
      <alignment horizontal="left" indent="1"/>
    </xf>
    <xf numFmtId="10" fontId="16" fillId="0" borderId="12" xfId="1" applyNumberFormat="1" applyFont="1" applyFill="1" applyBorder="1"/>
    <xf numFmtId="10" fontId="16" fillId="0" borderId="11" xfId="1" applyNumberFormat="1" applyFont="1" applyFill="1" applyBorder="1"/>
    <xf numFmtId="166" fontId="4" fillId="0" borderId="0" xfId="0" applyNumberFormat="1" applyFont="1"/>
    <xf numFmtId="166" fontId="4" fillId="0" borderId="7" xfId="0" applyNumberFormat="1" applyFont="1" applyBorder="1"/>
    <xf numFmtId="10" fontId="11" fillId="0" borderId="10" xfId="1" applyNumberFormat="1" applyFont="1" applyBorder="1"/>
    <xf numFmtId="10" fontId="11" fillId="0" borderId="12" xfId="1" applyNumberFormat="1" applyFont="1" applyBorder="1"/>
    <xf numFmtId="10" fontId="11" fillId="0" borderId="11" xfId="1" applyNumberFormat="1" applyFont="1" applyBorder="1"/>
    <xf numFmtId="3" fontId="3" fillId="5" borderId="5" xfId="0" applyNumberFormat="1" applyFont="1" applyFill="1" applyBorder="1"/>
    <xf numFmtId="3" fontId="4" fillId="0" borderId="3" xfId="0" applyNumberFormat="1" applyFont="1" applyBorder="1"/>
    <xf numFmtId="3" fontId="4" fillId="0" borderId="7" xfId="0" applyNumberFormat="1" applyFont="1" applyBorder="1"/>
    <xf numFmtId="3" fontId="11" fillId="0" borderId="3" xfId="0" applyNumberFormat="1" applyFont="1" applyBorder="1"/>
    <xf numFmtId="10" fontId="11" fillId="0" borderId="0" xfId="1" applyNumberFormat="1" applyFont="1" applyBorder="1" applyAlignment="1">
      <alignment horizontal="right"/>
    </xf>
    <xf numFmtId="0" fontId="11" fillId="0" borderId="10" xfId="0" applyFont="1" applyBorder="1"/>
    <xf numFmtId="3" fontId="11" fillId="0" borderId="12" xfId="0" applyNumberFormat="1" applyFont="1" applyBorder="1"/>
    <xf numFmtId="169" fontId="3" fillId="5" borderId="5" xfId="0" applyNumberFormat="1" applyFont="1" applyFill="1" applyBorder="1" applyAlignment="1">
      <alignment horizontal="center" wrapText="1"/>
    </xf>
    <xf numFmtId="10" fontId="11" fillId="0" borderId="12" xfId="1" applyNumberFormat="1" applyFont="1" applyBorder="1" applyAlignment="1">
      <alignment horizontal="right"/>
    </xf>
    <xf numFmtId="0" fontId="3" fillId="5" borderId="6" xfId="0" applyFont="1" applyFill="1" applyBorder="1"/>
    <xf numFmtId="3" fontId="6" fillId="0" borderId="7" xfId="1" applyNumberFormat="1" applyFont="1" applyFill="1" applyBorder="1" applyAlignment="1">
      <alignment horizontal="right"/>
    </xf>
    <xf numFmtId="169" fontId="3" fillId="5" borderId="0" xfId="0" applyNumberFormat="1" applyFont="1" applyFill="1" applyAlignment="1">
      <alignment horizontal="center"/>
    </xf>
    <xf numFmtId="169" fontId="3" fillId="5" borderId="7" xfId="0" applyNumberFormat="1" applyFont="1" applyFill="1" applyBorder="1" applyAlignment="1">
      <alignment horizontal="center"/>
    </xf>
    <xf numFmtId="3" fontId="6" fillId="0" borderId="11" xfId="1" applyNumberFormat="1" applyFont="1" applyFill="1" applyBorder="1" applyAlignment="1">
      <alignment horizontal="right"/>
    </xf>
    <xf numFmtId="3" fontId="6" fillId="0" borderId="11" xfId="1" applyNumberFormat="1" applyFont="1" applyFill="1" applyBorder="1"/>
    <xf numFmtId="0" fontId="6" fillId="0" borderId="3" xfId="0" quotePrefix="1" applyFont="1" applyBorder="1"/>
    <xf numFmtId="173" fontId="6" fillId="0" borderId="7" xfId="1" applyNumberFormat="1" applyFont="1" applyFill="1" applyBorder="1" applyAlignment="1">
      <alignment horizontal="right"/>
    </xf>
    <xf numFmtId="3" fontId="8" fillId="0" borderId="0" xfId="0" applyNumberFormat="1" applyFont="1"/>
    <xf numFmtId="3" fontId="8" fillId="0" borderId="0" xfId="0" applyNumberFormat="1" applyFont="1" applyAlignment="1">
      <alignment horizontal="center"/>
    </xf>
    <xf numFmtId="3" fontId="8" fillId="0" borderId="3" xfId="0" applyNumberFormat="1" applyFont="1" applyBorder="1"/>
    <xf numFmtId="3" fontId="8" fillId="0" borderId="7" xfId="0" applyNumberFormat="1" applyFont="1" applyBorder="1"/>
    <xf numFmtId="3" fontId="6" fillId="0" borderId="7" xfId="0" applyNumberFormat="1" applyFont="1" applyBorder="1" applyAlignment="1">
      <alignment horizontal="right"/>
    </xf>
    <xf numFmtId="3" fontId="4" fillId="3" borderId="8" xfId="0" applyNumberFormat="1" applyFont="1" applyFill="1" applyBorder="1"/>
    <xf numFmtId="10" fontId="6" fillId="0" borderId="7" xfId="0" applyNumberFormat="1" applyFont="1" applyBorder="1" applyAlignment="1">
      <alignment horizontal="right"/>
    </xf>
    <xf numFmtId="3" fontId="4" fillId="0" borderId="7" xfId="1" applyNumberFormat="1" applyFont="1" applyBorder="1"/>
    <xf numFmtId="0" fontId="4" fillId="0" borderId="5" xfId="0" applyFont="1" applyBorder="1"/>
    <xf numFmtId="1" fontId="4" fillId="0" borderId="7" xfId="0" applyNumberFormat="1" applyFont="1" applyBorder="1"/>
    <xf numFmtId="0" fontId="8" fillId="0" borderId="4" xfId="0" applyFont="1" applyBorder="1"/>
    <xf numFmtId="0" fontId="11" fillId="0" borderId="0" xfId="0" applyFont="1"/>
    <xf numFmtId="0" fontId="4" fillId="0" borderId="0" xfId="0" applyFont="1" applyAlignment="1">
      <alignment vertical="top"/>
    </xf>
    <xf numFmtId="4" fontId="0" fillId="3" borderId="0" xfId="0" applyNumberFormat="1" applyFill="1" applyAlignment="1">
      <alignment horizontal="right"/>
    </xf>
    <xf numFmtId="4" fontId="0" fillId="0" borderId="0" xfId="0" applyNumberFormat="1" applyAlignment="1">
      <alignment horizontal="right"/>
    </xf>
    <xf numFmtId="0" fontId="2" fillId="0" borderId="0" xfId="0" applyFont="1"/>
    <xf numFmtId="0" fontId="0" fillId="0" borderId="1" xfId="0" applyBorder="1"/>
    <xf numFmtId="164" fontId="0" fillId="4" borderId="0" xfId="0" applyNumberFormat="1" applyFill="1" applyAlignment="1">
      <alignment horizontal="right"/>
    </xf>
    <xf numFmtId="3" fontId="0" fillId="0" borderId="0" xfId="0" applyNumberFormat="1" applyAlignment="1">
      <alignment horizontal="left"/>
    </xf>
    <xf numFmtId="164" fontId="10" fillId="0" borderId="0" xfId="2" applyNumberFormat="1" applyFill="1" applyAlignment="1">
      <alignment horizontal="right"/>
    </xf>
    <xf numFmtId="10" fontId="0" fillId="0" borderId="0" xfId="0" applyNumberFormat="1" applyAlignment="1">
      <alignment horizontal="left"/>
    </xf>
    <xf numFmtId="10" fontId="0" fillId="0" borderId="0" xfId="1" applyNumberFormat="1" applyFont="1" applyFill="1" applyAlignment="1">
      <alignment horizontal="left"/>
    </xf>
    <xf numFmtId="10" fontId="0" fillId="0" borderId="0" xfId="0" applyNumberFormat="1" applyAlignment="1">
      <alignment horizontal="right"/>
    </xf>
    <xf numFmtId="0" fontId="4" fillId="0" borderId="4" xfId="0" applyFont="1" applyBorder="1"/>
    <xf numFmtId="175" fontId="12" fillId="0" borderId="0" xfId="3" applyNumberFormat="1" applyAlignment="1">
      <alignment horizontal="right"/>
    </xf>
    <xf numFmtId="0" fontId="14" fillId="3" borderId="0" xfId="3" applyFont="1" applyFill="1" applyAlignment="1">
      <alignment horizontal="right"/>
    </xf>
    <xf numFmtId="176" fontId="14" fillId="3" borderId="0" xfId="3" applyNumberFormat="1" applyFont="1" applyFill="1" applyAlignment="1">
      <alignment horizontal="right"/>
    </xf>
    <xf numFmtId="176" fontId="12" fillId="0" borderId="0" xfId="3" applyNumberFormat="1" applyAlignment="1">
      <alignment horizontal="right"/>
    </xf>
    <xf numFmtId="177" fontId="14" fillId="3" borderId="0" xfId="3" applyNumberFormat="1" applyFont="1" applyFill="1" applyAlignment="1">
      <alignment horizontal="right"/>
    </xf>
    <xf numFmtId="177" fontId="12" fillId="0" borderId="0" xfId="3" applyNumberFormat="1" applyAlignment="1">
      <alignment horizontal="right"/>
    </xf>
    <xf numFmtId="178" fontId="14" fillId="3" borderId="0" xfId="3" applyNumberFormat="1" applyFont="1" applyFill="1" applyAlignment="1">
      <alignment horizontal="right"/>
    </xf>
    <xf numFmtId="179" fontId="12" fillId="0" borderId="0" xfId="3" applyNumberFormat="1" applyAlignment="1">
      <alignment horizontal="right"/>
    </xf>
    <xf numFmtId="180" fontId="12" fillId="0" borderId="0" xfId="3" applyNumberFormat="1" applyAlignment="1">
      <alignment horizontal="right"/>
    </xf>
    <xf numFmtId="181" fontId="12" fillId="0" borderId="0" xfId="3" applyNumberFormat="1" applyAlignment="1">
      <alignment horizontal="right"/>
    </xf>
    <xf numFmtId="182" fontId="12" fillId="0" borderId="0" xfId="3" applyNumberFormat="1" applyAlignment="1">
      <alignment horizontal="right"/>
    </xf>
    <xf numFmtId="183" fontId="12" fillId="3" borderId="0" xfId="3" applyNumberFormat="1" applyFill="1" applyAlignment="1">
      <alignment horizontal="right"/>
    </xf>
    <xf numFmtId="184" fontId="12" fillId="3" borderId="0" xfId="3" applyNumberFormat="1" applyFill="1" applyAlignment="1">
      <alignment horizontal="right"/>
    </xf>
    <xf numFmtId="185" fontId="12" fillId="3" borderId="0" xfId="3" applyNumberFormat="1" applyFill="1" applyAlignment="1">
      <alignment horizontal="right"/>
    </xf>
    <xf numFmtId="186" fontId="12" fillId="3" borderId="0" xfId="3" applyNumberFormat="1" applyFill="1" applyAlignment="1">
      <alignment horizontal="right"/>
    </xf>
    <xf numFmtId="187" fontId="12" fillId="3" borderId="0" xfId="3" applyNumberFormat="1" applyFill="1" applyAlignment="1">
      <alignment horizontal="right"/>
    </xf>
    <xf numFmtId="183" fontId="12" fillId="0" borderId="0" xfId="3" applyNumberFormat="1" applyAlignment="1">
      <alignment horizontal="right"/>
    </xf>
    <xf numFmtId="188" fontId="12" fillId="0" borderId="0" xfId="3" applyNumberFormat="1" applyAlignment="1">
      <alignment horizontal="right"/>
    </xf>
    <xf numFmtId="189" fontId="12" fillId="0" borderId="0" xfId="3" applyNumberFormat="1" applyAlignment="1">
      <alignment horizontal="right"/>
    </xf>
    <xf numFmtId="190" fontId="12" fillId="0" borderId="0" xfId="3" applyNumberFormat="1" applyAlignment="1">
      <alignment horizontal="right"/>
    </xf>
    <xf numFmtId="187" fontId="12" fillId="0" borderId="0" xfId="3" applyNumberFormat="1" applyAlignment="1">
      <alignment horizontal="right"/>
    </xf>
    <xf numFmtId="190" fontId="12" fillId="3" borderId="0" xfId="3" applyNumberFormat="1" applyFill="1" applyAlignment="1">
      <alignment horizontal="right"/>
    </xf>
    <xf numFmtId="175" fontId="12" fillId="3" borderId="0" xfId="3" applyNumberFormat="1" applyFill="1" applyAlignment="1">
      <alignment horizontal="right"/>
    </xf>
    <xf numFmtId="191" fontId="12" fillId="0" borderId="0" xfId="3" applyNumberFormat="1" applyAlignment="1">
      <alignment horizontal="right"/>
    </xf>
    <xf numFmtId="192" fontId="12" fillId="0" borderId="0" xfId="3" applyNumberFormat="1" applyAlignment="1">
      <alignment horizontal="right"/>
    </xf>
    <xf numFmtId="193" fontId="12" fillId="0" borderId="0" xfId="3" applyNumberFormat="1" applyAlignment="1">
      <alignment horizontal="right"/>
    </xf>
    <xf numFmtId="194" fontId="12" fillId="3" borderId="0" xfId="3" applyNumberFormat="1" applyFill="1" applyAlignment="1">
      <alignment horizontal="right"/>
    </xf>
    <xf numFmtId="189" fontId="12" fillId="3" borderId="0" xfId="3" applyNumberFormat="1" applyFill="1" applyAlignment="1">
      <alignment horizontal="right"/>
    </xf>
    <xf numFmtId="195" fontId="12" fillId="3" borderId="0" xfId="3" applyNumberFormat="1" applyFill="1" applyAlignment="1">
      <alignment horizontal="right"/>
    </xf>
    <xf numFmtId="196" fontId="12" fillId="3" borderId="0" xfId="3" applyNumberFormat="1" applyFill="1" applyAlignment="1">
      <alignment horizontal="right"/>
    </xf>
    <xf numFmtId="197" fontId="12" fillId="0" borderId="0" xfId="3" applyNumberFormat="1" applyAlignment="1">
      <alignment horizontal="right"/>
    </xf>
    <xf numFmtId="194" fontId="12" fillId="0" borderId="0" xfId="3" applyNumberFormat="1" applyAlignment="1">
      <alignment horizontal="right"/>
    </xf>
    <xf numFmtId="198" fontId="12" fillId="0" borderId="0" xfId="3" applyNumberFormat="1" applyAlignment="1">
      <alignment horizontal="right"/>
    </xf>
    <xf numFmtId="199" fontId="12" fillId="0" borderId="0" xfId="3" applyNumberFormat="1" applyAlignment="1">
      <alignment horizontal="right"/>
    </xf>
    <xf numFmtId="200" fontId="12" fillId="3" borderId="0" xfId="3" applyNumberFormat="1" applyFill="1" applyAlignment="1">
      <alignment horizontal="right"/>
    </xf>
    <xf numFmtId="181" fontId="12" fillId="3" borderId="0" xfId="3" applyNumberFormat="1" applyFill="1" applyAlignment="1">
      <alignment horizontal="right"/>
    </xf>
    <xf numFmtId="201" fontId="12" fillId="0" borderId="0" xfId="3" applyNumberFormat="1" applyAlignment="1">
      <alignment horizontal="right"/>
    </xf>
    <xf numFmtId="202" fontId="12" fillId="3" borderId="0" xfId="3" applyNumberFormat="1" applyFill="1" applyAlignment="1">
      <alignment horizontal="right"/>
    </xf>
    <xf numFmtId="203" fontId="12" fillId="0" borderId="0" xfId="3" applyNumberFormat="1" applyAlignment="1">
      <alignment horizontal="right"/>
    </xf>
    <xf numFmtId="204" fontId="12" fillId="0" borderId="0" xfId="3" applyNumberFormat="1" applyAlignment="1">
      <alignment horizontal="right"/>
    </xf>
    <xf numFmtId="205" fontId="12" fillId="0" borderId="0" xfId="3" applyNumberFormat="1" applyAlignment="1">
      <alignment horizontal="right"/>
    </xf>
    <xf numFmtId="197" fontId="12" fillId="3" borderId="0" xfId="3" applyNumberFormat="1" applyFill="1" applyAlignment="1">
      <alignment horizontal="right"/>
    </xf>
    <xf numFmtId="204" fontId="12" fillId="3" borderId="0" xfId="3" applyNumberFormat="1" applyFill="1" applyAlignment="1">
      <alignment horizontal="right"/>
    </xf>
    <xf numFmtId="205" fontId="12" fillId="3" borderId="0" xfId="3" applyNumberFormat="1" applyFill="1" applyAlignment="1">
      <alignment horizontal="right"/>
    </xf>
    <xf numFmtId="188" fontId="12" fillId="3" borderId="0" xfId="3" applyNumberFormat="1" applyFill="1" applyAlignment="1">
      <alignment horizontal="right"/>
    </xf>
    <xf numFmtId="180" fontId="12" fillId="3" borderId="0" xfId="3" applyNumberFormat="1" applyFill="1" applyAlignment="1">
      <alignment horizontal="right"/>
    </xf>
    <xf numFmtId="206" fontId="12" fillId="3" borderId="0" xfId="3" applyNumberFormat="1" applyFill="1" applyAlignment="1">
      <alignment horizontal="right"/>
    </xf>
    <xf numFmtId="184" fontId="12" fillId="0" borderId="0" xfId="3" applyNumberFormat="1" applyAlignment="1">
      <alignment horizontal="right"/>
    </xf>
    <xf numFmtId="207" fontId="12" fillId="0" borderId="0" xfId="3" applyNumberFormat="1" applyAlignment="1">
      <alignment horizontal="right"/>
    </xf>
    <xf numFmtId="208" fontId="12" fillId="3" borderId="0" xfId="3" applyNumberFormat="1" applyFill="1" applyAlignment="1">
      <alignment horizontal="right"/>
    </xf>
    <xf numFmtId="209" fontId="12" fillId="3" borderId="0" xfId="3" applyNumberFormat="1" applyFill="1" applyAlignment="1">
      <alignment horizontal="right"/>
    </xf>
    <xf numFmtId="210" fontId="12" fillId="0" borderId="0" xfId="3" applyNumberFormat="1" applyAlignment="1">
      <alignment horizontal="right"/>
    </xf>
    <xf numFmtId="211" fontId="12" fillId="3" borderId="0" xfId="3" applyNumberFormat="1" applyFill="1" applyAlignment="1">
      <alignment horizontal="right"/>
    </xf>
    <xf numFmtId="192" fontId="12" fillId="3" borderId="0" xfId="3" applyNumberFormat="1" applyFill="1" applyAlignment="1">
      <alignment horizontal="right"/>
    </xf>
    <xf numFmtId="212" fontId="12" fillId="0" borderId="0" xfId="3" applyNumberFormat="1" applyAlignment="1">
      <alignment horizontal="right"/>
    </xf>
    <xf numFmtId="213" fontId="12" fillId="3" borderId="0" xfId="3" applyNumberFormat="1" applyFill="1" applyAlignment="1">
      <alignment horizontal="right"/>
    </xf>
    <xf numFmtId="214" fontId="12" fillId="3" borderId="0" xfId="3" applyNumberFormat="1" applyFill="1" applyAlignment="1">
      <alignment horizontal="right"/>
    </xf>
    <xf numFmtId="209" fontId="12" fillId="0" borderId="0" xfId="3" applyNumberFormat="1" applyAlignment="1">
      <alignment horizontal="right"/>
    </xf>
    <xf numFmtId="206" fontId="12" fillId="0" borderId="0" xfId="3" applyNumberFormat="1" applyAlignment="1">
      <alignment horizontal="right"/>
    </xf>
    <xf numFmtId="212" fontId="12" fillId="3" borderId="0" xfId="3" applyNumberFormat="1" applyFill="1" applyAlignment="1">
      <alignment horizontal="right"/>
    </xf>
    <xf numFmtId="176" fontId="12" fillId="3" borderId="0" xfId="3" applyNumberFormat="1" applyFill="1" applyAlignment="1">
      <alignment horizontal="right"/>
    </xf>
    <xf numFmtId="210" fontId="12" fillId="3" borderId="0" xfId="3" applyNumberFormat="1" applyFill="1" applyAlignment="1">
      <alignment horizontal="right"/>
    </xf>
    <xf numFmtId="215" fontId="12" fillId="0" borderId="0" xfId="3" applyNumberFormat="1" applyAlignment="1">
      <alignment horizontal="right"/>
    </xf>
    <xf numFmtId="0" fontId="14" fillId="0" borderId="0" xfId="3" applyFont="1" applyAlignment="1">
      <alignment horizontal="right"/>
    </xf>
    <xf numFmtId="203" fontId="14" fillId="0" borderId="0" xfId="3" applyNumberFormat="1" applyFont="1" applyAlignment="1">
      <alignment horizontal="right"/>
    </xf>
    <xf numFmtId="203" fontId="15" fillId="3" borderId="0" xfId="3" applyNumberFormat="1" applyFont="1" applyFill="1" applyAlignment="1">
      <alignment horizontal="right"/>
    </xf>
    <xf numFmtId="0" fontId="12" fillId="0" borderId="0" xfId="3" applyAlignment="1">
      <alignment horizontal="right"/>
    </xf>
    <xf numFmtId="216" fontId="12" fillId="0" borderId="0" xfId="3" applyNumberFormat="1" applyAlignment="1">
      <alignment horizontal="right"/>
    </xf>
    <xf numFmtId="0" fontId="12" fillId="3" borderId="0" xfId="3" applyFill="1" applyAlignment="1">
      <alignment horizontal="right"/>
    </xf>
    <xf numFmtId="176" fontId="15" fillId="3" borderId="0" xfId="3" applyNumberFormat="1" applyFont="1" applyFill="1" applyAlignment="1">
      <alignment horizontal="right"/>
    </xf>
    <xf numFmtId="217" fontId="12" fillId="0" borderId="0" xfId="3" applyNumberFormat="1" applyAlignment="1">
      <alignment horizontal="right"/>
    </xf>
    <xf numFmtId="165" fontId="0" fillId="10" borderId="0" xfId="0" applyNumberFormat="1" applyFill="1" applyAlignment="1">
      <alignment horizontal="right"/>
    </xf>
    <xf numFmtId="0" fontId="2" fillId="2" borderId="0" xfId="0" applyFont="1" applyFill="1" applyAlignment="1">
      <alignment horizontal="left"/>
    </xf>
    <xf numFmtId="0" fontId="2" fillId="0" borderId="0" xfId="0" applyFont="1" applyAlignment="1">
      <alignment horizontal="left"/>
    </xf>
    <xf numFmtId="0" fontId="4" fillId="0" borderId="3" xfId="0" applyFont="1" applyBorder="1" applyAlignment="1">
      <alignment horizontal="left"/>
    </xf>
    <xf numFmtId="0" fontId="4" fillId="0" borderId="10" xfId="0" applyFont="1" applyBorder="1" applyAlignment="1">
      <alignment horizontal="left"/>
    </xf>
    <xf numFmtId="0" fontId="4" fillId="0" borderId="11" xfId="0" applyFont="1" applyBorder="1"/>
    <xf numFmtId="10" fontId="6" fillId="0" borderId="12" xfId="1" applyNumberFormat="1" applyFont="1" applyFill="1" applyBorder="1" applyAlignment="1">
      <alignment horizontal="right"/>
    </xf>
    <xf numFmtId="10" fontId="6" fillId="0" borderId="11" xfId="1" applyNumberFormat="1" applyFont="1" applyFill="1" applyBorder="1" applyAlignment="1">
      <alignment horizontal="right"/>
    </xf>
    <xf numFmtId="0" fontId="5" fillId="11" borderId="13" xfId="0" applyFont="1" applyFill="1" applyBorder="1" applyAlignment="1">
      <alignment horizontal="center"/>
    </xf>
    <xf numFmtId="165" fontId="0" fillId="0" borderId="0" xfId="0" applyNumberFormat="1"/>
    <xf numFmtId="10" fontId="4" fillId="0" borderId="7" xfId="0" applyNumberFormat="1" applyFont="1" applyBorder="1"/>
    <xf numFmtId="0" fontId="17" fillId="0" borderId="0" xfId="2" applyFont="1" applyAlignment="1">
      <alignment vertical="top"/>
    </xf>
    <xf numFmtId="0" fontId="8" fillId="0" borderId="0" xfId="0" applyFont="1" applyAlignment="1">
      <alignment horizontal="center"/>
    </xf>
    <xf numFmtId="0" fontId="18" fillId="0" borderId="0" xfId="0" applyFont="1" applyAlignment="1">
      <alignment horizontal="center"/>
    </xf>
    <xf numFmtId="0" fontId="19" fillId="0" borderId="0" xfId="2" applyFont="1"/>
    <xf numFmtId="0" fontId="20" fillId="0" borderId="0" xfId="0" applyFont="1"/>
    <xf numFmtId="3" fontId="17" fillId="0" borderId="0" xfId="2" applyNumberFormat="1" applyFont="1"/>
    <xf numFmtId="3" fontId="4" fillId="0" borderId="12" xfId="0" applyNumberFormat="1" applyFont="1" applyBorder="1"/>
    <xf numFmtId="3" fontId="4" fillId="0" borderId="9" xfId="0" applyNumberFormat="1" applyFont="1" applyBorder="1"/>
    <xf numFmtId="2" fontId="4" fillId="0" borderId="0" xfId="0" applyNumberFormat="1" applyFont="1"/>
    <xf numFmtId="0" fontId="4" fillId="6" borderId="3" xfId="0" applyFont="1" applyFill="1" applyBorder="1"/>
    <xf numFmtId="171" fontId="4" fillId="6" borderId="7" xfId="0" applyNumberFormat="1" applyFont="1" applyFill="1" applyBorder="1"/>
    <xf numFmtId="2" fontId="4" fillId="0" borderId="7" xfId="0" applyNumberFormat="1" applyFont="1" applyBorder="1"/>
    <xf numFmtId="2" fontId="4" fillId="0" borderId="11" xfId="0" applyNumberFormat="1" applyFont="1" applyBorder="1"/>
    <xf numFmtId="0" fontId="4" fillId="8" borderId="3" xfId="0" applyFont="1" applyFill="1" applyBorder="1"/>
    <xf numFmtId="2" fontId="4" fillId="8" borderId="7" xfId="0" applyNumberFormat="1" applyFont="1" applyFill="1" applyBorder="1"/>
    <xf numFmtId="167" fontId="4" fillId="0" borderId="7" xfId="0" applyNumberFormat="1" applyFont="1" applyBorder="1"/>
    <xf numFmtId="0" fontId="4" fillId="7" borderId="3" xfId="0" applyFont="1" applyFill="1" applyBorder="1"/>
    <xf numFmtId="164" fontId="8" fillId="0" borderId="0" xfId="0" applyNumberFormat="1" applyFont="1"/>
    <xf numFmtId="0" fontId="5" fillId="11" borderId="14" xfId="0" applyFont="1" applyFill="1" applyBorder="1" applyAlignment="1">
      <alignment horizontal="center"/>
    </xf>
    <xf numFmtId="10" fontId="4" fillId="0" borderId="13" xfId="1" applyNumberFormat="1" applyFont="1" applyBorder="1"/>
    <xf numFmtId="4" fontId="8" fillId="0" borderId="8" xfId="0" applyNumberFormat="1" applyFont="1" applyBorder="1"/>
    <xf numFmtId="172" fontId="4" fillId="0" borderId="7" xfId="0" applyNumberFormat="1" applyFont="1" applyBorder="1"/>
    <xf numFmtId="4" fontId="4" fillId="7" borderId="7" xfId="0" applyNumberFormat="1" applyFont="1" applyFill="1" applyBorder="1"/>
    <xf numFmtId="4" fontId="4" fillId="0" borderId="7" xfId="0" applyNumberFormat="1" applyFont="1" applyBorder="1"/>
    <xf numFmtId="4" fontId="4" fillId="0" borderId="11" xfId="0" applyNumberFormat="1" applyFont="1" applyBorder="1"/>
    <xf numFmtId="0" fontId="17" fillId="0" borderId="0" xfId="2" applyFont="1"/>
    <xf numFmtId="0" fontId="4" fillId="0" borderId="0" xfId="3" applyFont="1"/>
    <xf numFmtId="174" fontId="4" fillId="4" borderId="0" xfId="4" applyNumberFormat="1" applyFont="1" applyFill="1"/>
    <xf numFmtId="10" fontId="8" fillId="0" borderId="0" xfId="3" applyNumberFormat="1" applyFont="1"/>
    <xf numFmtId="0" fontId="21" fillId="0" borderId="0" xfId="3" applyFont="1"/>
    <xf numFmtId="4" fontId="21" fillId="0" borderId="0" xfId="3" applyNumberFormat="1" applyFont="1"/>
    <xf numFmtId="10" fontId="21" fillId="0" borderId="0" xfId="3" applyNumberFormat="1" applyFont="1"/>
    <xf numFmtId="14" fontId="4" fillId="0" borderId="0" xfId="3" applyNumberFormat="1" applyFont="1"/>
    <xf numFmtId="10" fontId="4" fillId="0" borderId="0" xfId="3" applyNumberFormat="1" applyFont="1"/>
    <xf numFmtId="15" fontId="21" fillId="0" borderId="0" xfId="3" applyNumberFormat="1" applyFont="1"/>
    <xf numFmtId="3" fontId="21" fillId="0" borderId="0" xfId="3" applyNumberFormat="1" applyFont="1"/>
    <xf numFmtId="0" fontId="11" fillId="0" borderId="15" xfId="3" applyFont="1" applyBorder="1" applyAlignment="1">
      <alignment horizontal="centerContinuous"/>
    </xf>
    <xf numFmtId="0" fontId="4" fillId="0" borderId="16" xfId="3" applyFont="1" applyBorder="1"/>
    <xf numFmtId="0" fontId="11" fillId="0" borderId="15" xfId="3" applyFont="1" applyBorder="1" applyAlignment="1">
      <alignment horizontal="center"/>
    </xf>
    <xf numFmtId="0" fontId="4" fillId="4" borderId="0" xfId="3" applyFont="1" applyFill="1"/>
    <xf numFmtId="0" fontId="8" fillId="0" borderId="0" xfId="3" applyFont="1"/>
    <xf numFmtId="174" fontId="4" fillId="0" borderId="0" xfId="3" applyNumberFormat="1" applyFont="1"/>
    <xf numFmtId="10" fontId="4" fillId="4" borderId="0" xfId="3" applyNumberFormat="1" applyFont="1" applyFill="1"/>
    <xf numFmtId="0" fontId="4" fillId="0" borderId="0" xfId="3" applyFont="1" applyAlignment="1">
      <alignment horizontal="left"/>
    </xf>
    <xf numFmtId="0" fontId="22" fillId="3" borderId="0" xfId="3" applyFont="1" applyFill="1" applyAlignment="1">
      <alignment horizontal="right"/>
    </xf>
    <xf numFmtId="0" fontId="22" fillId="3" borderId="0" xfId="3" applyFont="1" applyFill="1" applyAlignment="1">
      <alignment horizontal="left"/>
    </xf>
    <xf numFmtId="176" fontId="22" fillId="3" borderId="0" xfId="3" applyNumberFormat="1" applyFont="1" applyFill="1" applyAlignment="1">
      <alignment horizontal="right"/>
    </xf>
    <xf numFmtId="176" fontId="4" fillId="0" borderId="0" xfId="3" applyNumberFormat="1" applyFont="1"/>
    <xf numFmtId="0" fontId="4" fillId="0" borderId="0" xfId="3" applyFont="1" applyAlignment="1">
      <alignment horizontal="left" indent="1"/>
    </xf>
    <xf numFmtId="177" fontId="4" fillId="0" borderId="0" xfId="3" applyNumberFormat="1" applyFont="1" applyAlignment="1">
      <alignment horizontal="right"/>
    </xf>
    <xf numFmtId="180" fontId="4" fillId="0" borderId="0" xfId="3" applyNumberFormat="1" applyFont="1" applyAlignment="1">
      <alignment horizontal="right"/>
    </xf>
    <xf numFmtId="178" fontId="22" fillId="3" borderId="0" xfId="3" applyNumberFormat="1" applyFont="1" applyFill="1" applyAlignment="1">
      <alignment horizontal="right"/>
    </xf>
    <xf numFmtId="185" fontId="4" fillId="3" borderId="0" xfId="3" applyNumberFormat="1" applyFont="1" applyFill="1" applyAlignment="1">
      <alignment horizontal="right"/>
    </xf>
    <xf numFmtId="179" fontId="4" fillId="0" borderId="0" xfId="3" applyNumberFormat="1" applyFont="1" applyAlignment="1">
      <alignment horizontal="right"/>
    </xf>
    <xf numFmtId="181" fontId="4" fillId="0" borderId="0" xfId="3" applyNumberFormat="1" applyFont="1" applyAlignment="1">
      <alignment horizontal="right"/>
    </xf>
    <xf numFmtId="0" fontId="4" fillId="3" borderId="0" xfId="3" applyFont="1" applyFill="1" applyAlignment="1">
      <alignment horizontal="left" indent="1"/>
    </xf>
    <xf numFmtId="183" fontId="4" fillId="3" borderId="0" xfId="3" applyNumberFormat="1" applyFont="1" applyFill="1" applyAlignment="1">
      <alignment horizontal="right"/>
    </xf>
    <xf numFmtId="186" fontId="4" fillId="3" borderId="0" xfId="3" applyNumberFormat="1" applyFont="1" applyFill="1" applyAlignment="1">
      <alignment horizontal="right"/>
    </xf>
    <xf numFmtId="183" fontId="4" fillId="0" borderId="0" xfId="3" applyNumberFormat="1" applyFont="1" applyAlignment="1">
      <alignment horizontal="right"/>
    </xf>
    <xf numFmtId="189" fontId="4" fillId="0" borderId="0" xfId="3" applyNumberFormat="1" applyFont="1" applyAlignment="1">
      <alignment horizontal="right"/>
    </xf>
    <xf numFmtId="190" fontId="4" fillId="0" borderId="0" xfId="3" applyNumberFormat="1" applyFont="1" applyAlignment="1">
      <alignment horizontal="right"/>
    </xf>
    <xf numFmtId="187" fontId="4" fillId="3" borderId="0" xfId="3" applyNumberFormat="1" applyFont="1" applyFill="1" applyAlignment="1">
      <alignment horizontal="right"/>
    </xf>
    <xf numFmtId="190" fontId="4" fillId="3" borderId="0" xfId="3" applyNumberFormat="1" applyFont="1" applyFill="1" applyAlignment="1">
      <alignment horizontal="right"/>
    </xf>
    <xf numFmtId="191" fontId="4" fillId="0" borderId="0" xfId="3" applyNumberFormat="1" applyFont="1" applyAlignment="1">
      <alignment horizontal="right"/>
    </xf>
    <xf numFmtId="193" fontId="4" fillId="0" borderId="0" xfId="3" applyNumberFormat="1" applyFont="1" applyAlignment="1">
      <alignment horizontal="right"/>
    </xf>
    <xf numFmtId="189" fontId="4" fillId="3" borderId="0" xfId="3" applyNumberFormat="1" applyFont="1" applyFill="1" applyAlignment="1">
      <alignment horizontal="right"/>
    </xf>
    <xf numFmtId="195" fontId="4" fillId="3" borderId="0" xfId="3" applyNumberFormat="1" applyFont="1" applyFill="1" applyAlignment="1">
      <alignment horizontal="right"/>
    </xf>
    <xf numFmtId="197" fontId="4" fillId="0" borderId="0" xfId="3" applyNumberFormat="1" applyFont="1" applyAlignment="1">
      <alignment horizontal="right"/>
    </xf>
    <xf numFmtId="198" fontId="4" fillId="0" borderId="0" xfId="3" applyNumberFormat="1" applyFont="1" applyAlignment="1">
      <alignment horizontal="right"/>
    </xf>
    <xf numFmtId="200" fontId="4" fillId="3" borderId="0" xfId="3" applyNumberFormat="1" applyFont="1" applyFill="1" applyAlignment="1">
      <alignment horizontal="right"/>
    </xf>
    <xf numFmtId="181" fontId="4" fillId="3" borderId="0" xfId="3" applyNumberFormat="1" applyFont="1" applyFill="1" applyAlignment="1">
      <alignment horizontal="right"/>
    </xf>
    <xf numFmtId="203" fontId="4" fillId="0" borderId="0" xfId="3" applyNumberFormat="1" applyFont="1" applyAlignment="1">
      <alignment horizontal="right"/>
    </xf>
    <xf numFmtId="197" fontId="4" fillId="3" borderId="0" xfId="3" applyNumberFormat="1" applyFont="1" applyFill="1" applyAlignment="1">
      <alignment horizontal="right"/>
    </xf>
    <xf numFmtId="205" fontId="4" fillId="3" borderId="0" xfId="3" applyNumberFormat="1" applyFont="1" applyFill="1" applyAlignment="1">
      <alignment horizontal="right"/>
    </xf>
    <xf numFmtId="180" fontId="4" fillId="3" borderId="0" xfId="3" applyNumberFormat="1" applyFont="1" applyFill="1" applyAlignment="1">
      <alignment horizontal="right"/>
    </xf>
    <xf numFmtId="206" fontId="4" fillId="3" borderId="0" xfId="3" applyNumberFormat="1" applyFont="1" applyFill="1" applyAlignment="1">
      <alignment horizontal="right"/>
    </xf>
    <xf numFmtId="205" fontId="4" fillId="0" borderId="0" xfId="3" applyNumberFormat="1" applyFont="1" applyAlignment="1">
      <alignment horizontal="right"/>
    </xf>
    <xf numFmtId="208" fontId="4" fillId="3" borderId="0" xfId="3" applyNumberFormat="1" applyFont="1" applyFill="1" applyAlignment="1">
      <alignment horizontal="right"/>
    </xf>
    <xf numFmtId="210" fontId="4" fillId="0" borderId="0" xfId="3" applyNumberFormat="1" applyFont="1" applyAlignment="1">
      <alignment horizontal="right"/>
    </xf>
    <xf numFmtId="211" fontId="4" fillId="3" borderId="0" xfId="3" applyNumberFormat="1" applyFont="1" applyFill="1" applyAlignment="1">
      <alignment horizontal="right"/>
    </xf>
    <xf numFmtId="212" fontId="4" fillId="0" borderId="0" xfId="3" applyNumberFormat="1" applyFont="1" applyAlignment="1">
      <alignment horizontal="right"/>
    </xf>
    <xf numFmtId="187" fontId="4" fillId="0" borderId="0" xfId="3" applyNumberFormat="1" applyFont="1" applyAlignment="1">
      <alignment horizontal="right"/>
    </xf>
    <xf numFmtId="213" fontId="4" fillId="3" borderId="0" xfId="3" applyNumberFormat="1" applyFont="1" applyFill="1" applyAlignment="1">
      <alignment horizontal="right"/>
    </xf>
    <xf numFmtId="214" fontId="4" fillId="3" borderId="0" xfId="3" applyNumberFormat="1" applyFont="1" applyFill="1" applyAlignment="1">
      <alignment horizontal="right"/>
    </xf>
    <xf numFmtId="209" fontId="4" fillId="0" borderId="0" xfId="3" applyNumberFormat="1" applyFont="1" applyAlignment="1">
      <alignment horizontal="right"/>
    </xf>
    <xf numFmtId="206" fontId="4" fillId="0" borderId="0" xfId="3" applyNumberFormat="1" applyFont="1" applyAlignment="1">
      <alignment horizontal="right"/>
    </xf>
    <xf numFmtId="212" fontId="4" fillId="3" borderId="0" xfId="3" applyNumberFormat="1" applyFont="1" applyFill="1" applyAlignment="1">
      <alignment horizontal="right"/>
    </xf>
    <xf numFmtId="209" fontId="4" fillId="3" borderId="0" xfId="3" applyNumberFormat="1" applyFont="1" applyFill="1" applyAlignment="1">
      <alignment horizontal="right"/>
    </xf>
    <xf numFmtId="176" fontId="4" fillId="3" borderId="0" xfId="3" applyNumberFormat="1" applyFont="1" applyFill="1" applyAlignment="1">
      <alignment horizontal="right"/>
    </xf>
    <xf numFmtId="215" fontId="4" fillId="0" borderId="0" xfId="3" applyNumberFormat="1" applyFont="1" applyAlignment="1">
      <alignment horizontal="right"/>
    </xf>
    <xf numFmtId="0" fontId="22" fillId="0" borderId="0" xfId="3" applyFont="1" applyAlignment="1">
      <alignment horizontal="left"/>
    </xf>
    <xf numFmtId="203" fontId="22" fillId="0" borderId="0" xfId="3" applyNumberFormat="1" applyFont="1" applyAlignment="1">
      <alignment horizontal="right"/>
    </xf>
    <xf numFmtId="203" fontId="23" fillId="3" borderId="0" xfId="3" applyNumberFormat="1" applyFont="1" applyFill="1" applyAlignment="1">
      <alignment horizontal="right"/>
    </xf>
    <xf numFmtId="0" fontId="4" fillId="0" borderId="0" xfId="3" applyFont="1" applyAlignment="1">
      <alignment horizontal="right"/>
    </xf>
    <xf numFmtId="0" fontId="8" fillId="0" borderId="0" xfId="3" applyFont="1" applyAlignment="1">
      <alignment horizontal="right"/>
    </xf>
    <xf numFmtId="0" fontId="4" fillId="3" borderId="0" xfId="3" applyFont="1" applyFill="1" applyAlignment="1">
      <alignment horizontal="right"/>
    </xf>
    <xf numFmtId="0" fontId="8" fillId="3" borderId="0" xfId="3" applyFont="1" applyFill="1" applyAlignment="1">
      <alignment horizontal="right"/>
    </xf>
    <xf numFmtId="218" fontId="4" fillId="0" borderId="0" xfId="3" applyNumberFormat="1" applyFont="1"/>
    <xf numFmtId="216" fontId="4" fillId="0" borderId="0" xfId="3" applyNumberFormat="1" applyFont="1" applyAlignment="1">
      <alignment horizontal="right"/>
    </xf>
    <xf numFmtId="0" fontId="24" fillId="0" borderId="0" xfId="3" applyFont="1" applyAlignment="1">
      <alignment horizontal="left"/>
    </xf>
    <xf numFmtId="4" fontId="4" fillId="0" borderId="7" xfId="1" applyNumberFormat="1" applyFont="1" applyBorder="1"/>
    <xf numFmtId="0" fontId="27" fillId="0" borderId="0" xfId="0" applyFont="1" applyAlignment="1">
      <alignment horizontal="right"/>
    </xf>
    <xf numFmtId="0" fontId="25" fillId="0" borderId="0" xfId="0" applyFont="1" applyAlignment="1">
      <alignment horizontal="center"/>
    </xf>
    <xf numFmtId="0" fontId="26" fillId="0" borderId="0" xfId="0" applyFont="1" applyAlignment="1">
      <alignment horizontal="center" vertical="center"/>
    </xf>
    <xf numFmtId="10" fontId="27" fillId="0" borderId="12" xfId="0" applyNumberFormat="1" applyFont="1" applyBorder="1" applyAlignment="1">
      <alignment horizontal="center" vertical="center"/>
    </xf>
    <xf numFmtId="9" fontId="27" fillId="0" borderId="7" xfId="0" applyNumberFormat="1" applyFont="1" applyBorder="1" applyAlignment="1">
      <alignment horizontal="center" vertical="center"/>
    </xf>
    <xf numFmtId="2" fontId="25" fillId="12" borderId="0" xfId="0" applyNumberFormat="1" applyFont="1" applyFill="1" applyAlignment="1">
      <alignment horizontal="center" vertical="center"/>
    </xf>
    <xf numFmtId="2" fontId="25" fillId="12" borderId="17" xfId="0" applyNumberFormat="1" applyFont="1" applyFill="1" applyBorder="1" applyAlignment="1">
      <alignment horizontal="center" vertical="center"/>
    </xf>
    <xf numFmtId="2" fontId="25" fillId="12" borderId="1" xfId="0" applyNumberFormat="1" applyFont="1" applyFill="1" applyBorder="1" applyAlignment="1">
      <alignment horizontal="center" vertical="center"/>
    </xf>
    <xf numFmtId="2" fontId="25" fillId="12" borderId="18" xfId="0" applyNumberFormat="1" applyFont="1" applyFill="1" applyBorder="1" applyAlignment="1">
      <alignment horizontal="center" vertical="center"/>
    </xf>
    <xf numFmtId="3" fontId="4" fillId="0" borderId="0" xfId="0" applyNumberFormat="1" applyFont="1" applyAlignment="1">
      <alignment horizontal="center"/>
    </xf>
    <xf numFmtId="0" fontId="4" fillId="0" borderId="0" xfId="0" applyFont="1" applyAlignment="1">
      <alignment horizontal="center"/>
    </xf>
    <xf numFmtId="0" fontId="27" fillId="0" borderId="0" xfId="0" applyFont="1" applyAlignment="1">
      <alignment horizontal="center"/>
    </xf>
    <xf numFmtId="10" fontId="27" fillId="0" borderId="7" xfId="0" applyNumberFormat="1" applyFont="1" applyBorder="1" applyAlignment="1">
      <alignment horizontal="center" vertical="center"/>
    </xf>
    <xf numFmtId="0" fontId="26" fillId="0" borderId="0" xfId="0" applyFont="1" applyAlignment="1">
      <alignment horizontal="center"/>
    </xf>
    <xf numFmtId="10" fontId="27" fillId="0" borderId="12" xfId="0" applyNumberFormat="1" applyFont="1" applyBorder="1" applyAlignment="1">
      <alignment horizontal="center"/>
    </xf>
    <xf numFmtId="10" fontId="27" fillId="0" borderId="7" xfId="0" applyNumberFormat="1" applyFont="1" applyBorder="1" applyAlignment="1">
      <alignment horizontal="center"/>
    </xf>
    <xf numFmtId="2" fontId="25" fillId="13" borderId="0" xfId="0" applyNumberFormat="1" applyFont="1" applyFill="1" applyAlignment="1">
      <alignment horizontal="center" vertical="center"/>
    </xf>
    <xf numFmtId="2" fontId="27" fillId="14" borderId="0" xfId="0" applyNumberFormat="1" applyFont="1" applyFill="1" applyAlignment="1">
      <alignment horizontal="center" vertical="center"/>
    </xf>
    <xf numFmtId="219" fontId="4" fillId="0" borderId="0" xfId="1" applyNumberFormat="1" applyFont="1"/>
    <xf numFmtId="165" fontId="0" fillId="15" borderId="0" xfId="0" applyNumberFormat="1" applyFill="1" applyAlignment="1">
      <alignment horizontal="right"/>
    </xf>
    <xf numFmtId="0" fontId="2" fillId="15" borderId="0" xfId="3" applyFont="1" applyFill="1" applyAlignment="1">
      <alignment horizontal="left"/>
    </xf>
    <xf numFmtId="164" fontId="2" fillId="15" borderId="0" xfId="0" applyNumberFormat="1" applyFont="1" applyFill="1" applyAlignment="1">
      <alignment horizontal="right"/>
    </xf>
    <xf numFmtId="0" fontId="10" fillId="0" borderId="0" xfId="2"/>
    <xf numFmtId="166" fontId="4" fillId="0" borderId="0" xfId="1" applyNumberFormat="1" applyFont="1"/>
    <xf numFmtId="0" fontId="28" fillId="0" borderId="0" xfId="0" applyFont="1" applyFill="1"/>
    <xf numFmtId="0" fontId="30" fillId="0" borderId="0" xfId="0" applyFont="1" applyFill="1"/>
    <xf numFmtId="0" fontId="29" fillId="0" borderId="0" xfId="0" applyFont="1" applyFill="1"/>
    <xf numFmtId="0" fontId="28" fillId="7" borderId="0" xfId="0" applyFont="1" applyFill="1"/>
    <xf numFmtId="0" fontId="31" fillId="0" borderId="0" xfId="0" applyFont="1" applyFill="1"/>
    <xf numFmtId="0" fontId="8" fillId="0" borderId="12" xfId="0" applyFont="1" applyBorder="1" applyAlignment="1">
      <alignment horizontal="center" vertical="top"/>
    </xf>
    <xf numFmtId="0" fontId="8" fillId="0" borderId="12" xfId="0" applyFont="1" applyBorder="1" applyAlignment="1">
      <alignment horizontal="left" vertical="top" wrapText="1"/>
    </xf>
    <xf numFmtId="0" fontId="3" fillId="5" borderId="5" xfId="0" applyFont="1" applyFill="1" applyBorder="1" applyAlignment="1">
      <alignment horizontal="center"/>
    </xf>
    <xf numFmtId="0" fontId="3" fillId="5" borderId="6" xfId="0" applyFont="1" applyFill="1" applyBorder="1" applyAlignment="1">
      <alignment horizontal="center"/>
    </xf>
    <xf numFmtId="0" fontId="3" fillId="9" borderId="5" xfId="0" applyFont="1" applyFill="1" applyBorder="1" applyAlignment="1">
      <alignment horizontal="center"/>
    </xf>
    <xf numFmtId="0" fontId="3" fillId="9" borderId="9" xfId="0" applyFont="1" applyFill="1" applyBorder="1" applyAlignment="1">
      <alignment horizontal="center"/>
    </xf>
    <xf numFmtId="0" fontId="3" fillId="5" borderId="9" xfId="0" applyFont="1" applyFill="1" applyBorder="1" applyAlignment="1">
      <alignment horizontal="center"/>
    </xf>
    <xf numFmtId="0" fontId="3" fillId="9" borderId="0" xfId="0" applyFont="1" applyFill="1" applyAlignment="1">
      <alignment horizontal="center"/>
    </xf>
  </cellXfs>
  <cellStyles count="5">
    <cellStyle name="Hyperlink" xfId="2" builtinId="8"/>
    <cellStyle name="Normal" xfId="0" builtinId="0"/>
    <cellStyle name="Normal 2" xfId="3" xr:uid="{82730128-C610-A245-AE4A-0F2F514A2D59}"/>
    <cellStyle name="Percent" xfId="1" builtinId="5"/>
    <cellStyle name="Percent 2" xfId="4" xr:uid="{8677BA90-D0EB-0046-9B36-B3040B7BCE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609600</xdr:colOff>
      <xdr:row>3</xdr:row>
      <xdr:rowOff>38100</xdr:rowOff>
    </xdr:from>
    <xdr:to>
      <xdr:col>3</xdr:col>
      <xdr:colOff>755770</xdr:colOff>
      <xdr:row>7</xdr:row>
      <xdr:rowOff>177800</xdr:rowOff>
    </xdr:to>
    <xdr:pic>
      <xdr:nvPicPr>
        <xdr:cNvPr id="5" name="Picture 4">
          <a:extLst>
            <a:ext uri="{FF2B5EF4-FFF2-40B4-BE49-F238E27FC236}">
              <a16:creationId xmlns:a16="http://schemas.microsoft.com/office/drawing/2014/main" id="{7F0E1A0B-6235-874F-AAFB-2A810DC57C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7100" y="647700"/>
          <a:ext cx="1797170"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279401</xdr:colOff>
      <xdr:row>32</xdr:row>
      <xdr:rowOff>38100</xdr:rowOff>
    </xdr:from>
    <xdr:to>
      <xdr:col>1</xdr:col>
      <xdr:colOff>10214999</xdr:colOff>
      <xdr:row>58</xdr:row>
      <xdr:rowOff>29133</xdr:rowOff>
    </xdr:to>
    <xdr:pic>
      <xdr:nvPicPr>
        <xdr:cNvPr id="2" name="Picture 1">
          <a:extLst>
            <a:ext uri="{FF2B5EF4-FFF2-40B4-BE49-F238E27FC236}">
              <a16:creationId xmlns:a16="http://schemas.microsoft.com/office/drawing/2014/main" id="{73E22DF4-B773-EC4E-ABD4-6B7CEB0ECFDE}"/>
            </a:ext>
          </a:extLst>
        </xdr:cNvPr>
        <xdr:cNvPicPr>
          <a:picLocks noChangeAspect="1"/>
        </xdr:cNvPicPr>
      </xdr:nvPicPr>
      <xdr:blipFill rotWithShape="1">
        <a:blip xmlns:r="http://schemas.openxmlformats.org/officeDocument/2006/relationships" r:embed="rId1"/>
        <a:srcRect l="-164" t="14902" r="327" b="10850"/>
        <a:stretch/>
      </xdr:blipFill>
      <xdr:spPr>
        <a:xfrm>
          <a:off x="685801" y="10845800"/>
          <a:ext cx="9935598" cy="4613833"/>
        </a:xfrm>
        <a:prstGeom prst="rect">
          <a:avLst/>
        </a:prstGeom>
      </xdr:spPr>
    </xdr:pic>
    <xdr:clientData/>
  </xdr:twoCellAnchor>
  <xdr:twoCellAnchor>
    <xdr:from>
      <xdr:col>1</xdr:col>
      <xdr:colOff>6311900</xdr:colOff>
      <xdr:row>52</xdr:row>
      <xdr:rowOff>50800</xdr:rowOff>
    </xdr:from>
    <xdr:to>
      <xdr:col>1</xdr:col>
      <xdr:colOff>6921500</xdr:colOff>
      <xdr:row>54</xdr:row>
      <xdr:rowOff>152400</xdr:rowOff>
    </xdr:to>
    <xdr:sp macro="" textlink="">
      <xdr:nvSpPr>
        <xdr:cNvPr id="3" name="Oval 2">
          <a:extLst>
            <a:ext uri="{FF2B5EF4-FFF2-40B4-BE49-F238E27FC236}">
              <a16:creationId xmlns:a16="http://schemas.microsoft.com/office/drawing/2014/main" id="{D49AC527-11A6-8D47-82AF-65EE92DBFE95}"/>
            </a:ext>
          </a:extLst>
        </xdr:cNvPr>
        <xdr:cNvSpPr/>
      </xdr:nvSpPr>
      <xdr:spPr>
        <a:xfrm>
          <a:off x="6718300" y="14414500"/>
          <a:ext cx="609600" cy="4572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18021</xdr:rowOff>
    </xdr:from>
    <xdr:to>
      <xdr:col>5</xdr:col>
      <xdr:colOff>71536</xdr:colOff>
      <xdr:row>27</xdr:row>
      <xdr:rowOff>151468</xdr:rowOff>
    </xdr:to>
    <xdr:pic>
      <xdr:nvPicPr>
        <xdr:cNvPr id="2" name="Picture 1">
          <a:extLst>
            <a:ext uri="{FF2B5EF4-FFF2-40B4-BE49-F238E27FC236}">
              <a16:creationId xmlns:a16="http://schemas.microsoft.com/office/drawing/2014/main" id="{2C80823C-AD4E-F249-91D7-82C31A947343}"/>
            </a:ext>
          </a:extLst>
        </xdr:cNvPr>
        <xdr:cNvPicPr>
          <a:picLocks noChangeAspect="1"/>
        </xdr:cNvPicPr>
      </xdr:nvPicPr>
      <xdr:blipFill>
        <a:blip xmlns:r="http://schemas.openxmlformats.org/officeDocument/2006/relationships" r:embed="rId1"/>
        <a:stretch>
          <a:fillRect/>
        </a:stretch>
      </xdr:blipFill>
      <xdr:spPr>
        <a:xfrm>
          <a:off x="0" y="1660865"/>
          <a:ext cx="5279701" cy="3104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bloomberg.com/markets/rates-bonds/government-bonds/us" TargetMode="External"/><Relationship Id="rId2" Type="http://schemas.openxmlformats.org/officeDocument/2006/relationships/hyperlink" Target="https://tradingeconomics.com/united-states/gdp-growth-annual" TargetMode="External"/><Relationship Id="rId1" Type="http://schemas.openxmlformats.org/officeDocument/2006/relationships/hyperlink" Target="https://ycharts.com/indicators/us_inflation_rate" TargetMode="External"/><Relationship Id="rId5" Type="http://schemas.openxmlformats.org/officeDocument/2006/relationships/drawing" Target="../drawings/drawing2.xml"/><Relationship Id="rId4" Type="http://schemas.openxmlformats.org/officeDocument/2006/relationships/hyperlink" Target="https://www.statista.com/statistics/664840/average-market-risk-premium-usa/"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034C-2AED-5143-A8D4-D7A673B0A76E}">
  <dimension ref="B2:O31"/>
  <sheetViews>
    <sheetView showGridLines="0" tabSelected="1" workbookViewId="0">
      <selection activeCell="D13" sqref="D13"/>
    </sheetView>
  </sheetViews>
  <sheetFormatPr baseColWidth="10" defaultRowHeight="16" x14ac:dyDescent="0.2"/>
  <cols>
    <col min="1" max="1" width="4.1640625" style="374" customWidth="1"/>
    <col min="2" max="16384" width="10.83203125" style="374"/>
  </cols>
  <sheetData>
    <row r="2" spans="2:15" x14ac:dyDescent="0.2">
      <c r="B2" s="371"/>
      <c r="C2" s="371"/>
      <c r="D2" s="371"/>
      <c r="E2" s="371"/>
      <c r="F2" s="371"/>
      <c r="G2" s="371"/>
      <c r="H2" s="371"/>
      <c r="I2" s="371"/>
      <c r="J2" s="371"/>
      <c r="K2" s="371"/>
      <c r="L2" s="371"/>
      <c r="M2" s="371"/>
      <c r="N2" s="371"/>
      <c r="O2" s="371"/>
    </row>
    <row r="3" spans="2:15" x14ac:dyDescent="0.2">
      <c r="B3" s="371"/>
      <c r="C3" s="371"/>
      <c r="D3" s="371"/>
      <c r="E3" s="371"/>
      <c r="F3" s="371"/>
      <c r="G3" s="371"/>
      <c r="H3" s="371"/>
      <c r="I3" s="371"/>
      <c r="J3" s="371"/>
      <c r="K3" s="371"/>
      <c r="L3" s="371"/>
      <c r="M3" s="371"/>
      <c r="N3" s="371"/>
      <c r="O3" s="371"/>
    </row>
    <row r="4" spans="2:15" x14ac:dyDescent="0.2">
      <c r="B4" s="371"/>
      <c r="C4" s="371"/>
      <c r="D4" s="371"/>
      <c r="E4" s="371"/>
      <c r="F4" s="371"/>
      <c r="G4" s="371"/>
      <c r="H4" s="371"/>
      <c r="I4" s="371"/>
      <c r="J4" s="371"/>
      <c r="K4" s="371"/>
      <c r="L4" s="371"/>
      <c r="M4" s="371"/>
      <c r="N4" s="371"/>
      <c r="O4" s="371"/>
    </row>
    <row r="5" spans="2:15" x14ac:dyDescent="0.2">
      <c r="B5" s="371"/>
      <c r="C5" s="371"/>
      <c r="D5" s="371"/>
      <c r="E5" s="371"/>
      <c r="F5" s="371"/>
      <c r="G5" s="371"/>
      <c r="H5" s="371"/>
      <c r="I5" s="371"/>
      <c r="J5" s="371"/>
      <c r="K5" s="371"/>
      <c r="L5" s="371"/>
      <c r="M5" s="371"/>
      <c r="N5" s="371"/>
      <c r="O5" s="371"/>
    </row>
    <row r="6" spans="2:15" x14ac:dyDescent="0.2">
      <c r="B6" s="371"/>
      <c r="C6" s="371"/>
      <c r="D6" s="371"/>
      <c r="E6" s="371"/>
      <c r="F6" s="371"/>
      <c r="G6" s="371"/>
      <c r="H6" s="371"/>
      <c r="I6" s="371"/>
      <c r="J6" s="371"/>
      <c r="K6" s="371"/>
      <c r="L6" s="371"/>
      <c r="M6" s="371"/>
      <c r="N6" s="371"/>
      <c r="O6" s="371"/>
    </row>
    <row r="7" spans="2:15" x14ac:dyDescent="0.2">
      <c r="B7" s="371"/>
      <c r="C7" s="371"/>
      <c r="D7" s="371"/>
      <c r="E7" s="371"/>
      <c r="F7" s="371"/>
      <c r="G7" s="371"/>
      <c r="H7" s="371"/>
      <c r="I7" s="371"/>
      <c r="J7" s="371"/>
      <c r="K7" s="371"/>
      <c r="L7" s="371"/>
      <c r="M7" s="371"/>
      <c r="N7" s="371"/>
      <c r="O7" s="371"/>
    </row>
    <row r="8" spans="2:15" x14ac:dyDescent="0.2">
      <c r="B8" s="371"/>
      <c r="C8" s="371"/>
      <c r="D8" s="371"/>
      <c r="E8" s="371"/>
      <c r="F8" s="371"/>
      <c r="G8" s="371"/>
      <c r="H8" s="371"/>
      <c r="I8" s="371"/>
      <c r="J8" s="371"/>
      <c r="K8" s="371"/>
      <c r="L8" s="371"/>
      <c r="M8" s="371"/>
      <c r="N8" s="371"/>
      <c r="O8" s="371"/>
    </row>
    <row r="9" spans="2:15" x14ac:dyDescent="0.2">
      <c r="B9" s="371"/>
      <c r="C9" s="371"/>
      <c r="D9" s="371"/>
      <c r="E9" s="371"/>
      <c r="F9" s="371"/>
      <c r="G9" s="371"/>
      <c r="H9" s="371"/>
      <c r="I9" s="371"/>
      <c r="J9" s="371"/>
      <c r="K9" s="371"/>
      <c r="L9" s="371"/>
      <c r="M9" s="371"/>
      <c r="N9" s="371"/>
      <c r="O9" s="371"/>
    </row>
    <row r="10" spans="2:15" ht="19" x14ac:dyDescent="0.25">
      <c r="B10" s="371"/>
      <c r="C10" s="375" t="s">
        <v>595</v>
      </c>
      <c r="D10" s="371"/>
      <c r="E10" s="371"/>
      <c r="F10" s="371"/>
      <c r="G10" s="371"/>
      <c r="H10" s="371"/>
      <c r="I10" s="371"/>
      <c r="J10" s="371"/>
      <c r="K10" s="371"/>
      <c r="L10" s="371"/>
      <c r="M10" s="371"/>
      <c r="N10" s="371"/>
      <c r="O10" s="371"/>
    </row>
    <row r="11" spans="2:15" x14ac:dyDescent="0.2">
      <c r="B11" s="371"/>
      <c r="C11" s="371"/>
      <c r="D11" s="371"/>
      <c r="E11" s="371"/>
      <c r="F11" s="371"/>
      <c r="G11" s="371"/>
      <c r="H11" s="371"/>
      <c r="I11" s="371"/>
      <c r="J11" s="371"/>
      <c r="K11" s="371"/>
      <c r="L11" s="371"/>
      <c r="M11" s="371"/>
      <c r="N11" s="371"/>
      <c r="O11" s="371"/>
    </row>
    <row r="12" spans="2:15" x14ac:dyDescent="0.2">
      <c r="B12" s="371"/>
      <c r="C12" s="372" t="s">
        <v>583</v>
      </c>
      <c r="D12" s="371"/>
      <c r="E12" s="371"/>
      <c r="F12" s="371"/>
      <c r="G12" s="372" t="s">
        <v>594</v>
      </c>
      <c r="H12" s="371"/>
      <c r="I12" s="371"/>
      <c r="J12" s="371"/>
      <c r="K12" s="371"/>
      <c r="L12" s="371"/>
      <c r="M12" s="371"/>
      <c r="N12" s="371"/>
      <c r="O12" s="371"/>
    </row>
    <row r="13" spans="2:15" x14ac:dyDescent="0.2">
      <c r="B13" s="371"/>
      <c r="C13" s="371" t="s">
        <v>584</v>
      </c>
      <c r="D13" s="371"/>
      <c r="E13" s="371"/>
      <c r="F13" s="371"/>
      <c r="G13" s="373" t="s">
        <v>577</v>
      </c>
      <c r="H13" s="371"/>
      <c r="I13" s="371"/>
      <c r="J13" s="371"/>
      <c r="K13" s="371"/>
      <c r="L13" s="371"/>
      <c r="M13" s="371"/>
      <c r="N13" s="371"/>
      <c r="O13" s="371"/>
    </row>
    <row r="14" spans="2:15" x14ac:dyDescent="0.2">
      <c r="B14" s="371"/>
      <c r="C14" s="371" t="s">
        <v>585</v>
      </c>
      <c r="D14" s="371"/>
      <c r="E14" s="371"/>
      <c r="F14" s="371"/>
      <c r="G14" s="373" t="s">
        <v>578</v>
      </c>
      <c r="H14" s="371"/>
      <c r="I14" s="371"/>
      <c r="J14" s="371"/>
      <c r="K14" s="371"/>
      <c r="L14" s="371"/>
      <c r="M14" s="371"/>
      <c r="N14" s="371"/>
      <c r="O14" s="371"/>
    </row>
    <row r="15" spans="2:15" x14ac:dyDescent="0.2">
      <c r="B15" s="371"/>
      <c r="C15" s="371" t="s">
        <v>586</v>
      </c>
      <c r="D15" s="371"/>
      <c r="E15" s="371"/>
      <c r="F15" s="371"/>
      <c r="G15" s="373" t="s">
        <v>579</v>
      </c>
      <c r="H15" s="371"/>
      <c r="I15" s="371"/>
      <c r="J15" s="371"/>
      <c r="K15" s="371"/>
      <c r="L15" s="371"/>
      <c r="M15" s="371"/>
      <c r="N15" s="371"/>
      <c r="O15" s="371"/>
    </row>
    <row r="16" spans="2:15" x14ac:dyDescent="0.2">
      <c r="B16" s="371"/>
      <c r="C16" s="371" t="s">
        <v>587</v>
      </c>
      <c r="D16" s="371"/>
      <c r="E16" s="371"/>
      <c r="F16" s="371"/>
      <c r="G16" s="373" t="s">
        <v>580</v>
      </c>
      <c r="H16" s="371"/>
      <c r="I16" s="371"/>
      <c r="J16" s="371"/>
      <c r="K16" s="371"/>
      <c r="L16" s="371"/>
      <c r="M16" s="371"/>
      <c r="N16" s="371"/>
      <c r="O16" s="371"/>
    </row>
    <row r="17" spans="2:15" x14ac:dyDescent="0.2">
      <c r="B17" s="371"/>
      <c r="C17" s="371" t="s">
        <v>588</v>
      </c>
      <c r="D17" s="371"/>
      <c r="E17" s="371"/>
      <c r="F17" s="371"/>
      <c r="G17" s="373" t="s">
        <v>581</v>
      </c>
      <c r="H17" s="371"/>
      <c r="I17" s="371"/>
      <c r="J17" s="371"/>
      <c r="K17" s="371"/>
      <c r="L17" s="371"/>
      <c r="M17" s="371"/>
      <c r="N17" s="371"/>
      <c r="O17" s="371"/>
    </row>
    <row r="18" spans="2:15" x14ac:dyDescent="0.2">
      <c r="B18" s="371"/>
      <c r="C18" s="371" t="s">
        <v>589</v>
      </c>
      <c r="D18" s="371"/>
      <c r="E18" s="371"/>
      <c r="F18" s="371"/>
      <c r="G18" s="373" t="s">
        <v>582</v>
      </c>
      <c r="H18" s="371"/>
      <c r="I18" s="371"/>
      <c r="J18" s="371"/>
      <c r="K18" s="371"/>
      <c r="L18" s="371"/>
      <c r="M18" s="371"/>
      <c r="N18" s="371"/>
      <c r="O18" s="371"/>
    </row>
    <row r="19" spans="2:15" x14ac:dyDescent="0.2">
      <c r="B19" s="371"/>
      <c r="C19" s="371" t="s">
        <v>597</v>
      </c>
      <c r="D19" s="371"/>
      <c r="E19" s="371"/>
      <c r="F19" s="371"/>
      <c r="G19" s="371"/>
      <c r="H19" s="371"/>
      <c r="I19" s="371"/>
      <c r="J19" s="371"/>
      <c r="K19" s="371"/>
      <c r="L19" s="371"/>
      <c r="M19" s="371"/>
      <c r="N19" s="371"/>
      <c r="O19" s="371"/>
    </row>
    <row r="20" spans="2:15" x14ac:dyDescent="0.2">
      <c r="B20" s="371"/>
      <c r="C20" s="371" t="s">
        <v>590</v>
      </c>
      <c r="D20" s="371"/>
      <c r="E20" s="371"/>
      <c r="F20" s="371"/>
      <c r="G20" s="371"/>
      <c r="H20" s="371"/>
      <c r="I20" s="371"/>
      <c r="J20" s="371"/>
      <c r="K20" s="371"/>
      <c r="L20" s="371"/>
      <c r="M20" s="371"/>
      <c r="N20" s="371"/>
      <c r="O20" s="371"/>
    </row>
    <row r="21" spans="2:15" x14ac:dyDescent="0.2">
      <c r="B21" s="371"/>
      <c r="C21" s="371" t="s">
        <v>591</v>
      </c>
      <c r="D21" s="371"/>
      <c r="E21" s="371"/>
      <c r="F21" s="371"/>
      <c r="G21" s="371"/>
      <c r="H21" s="371"/>
      <c r="I21" s="371"/>
      <c r="J21" s="371"/>
      <c r="K21" s="371"/>
      <c r="L21" s="371"/>
      <c r="M21" s="371"/>
      <c r="N21" s="371"/>
      <c r="O21" s="371"/>
    </row>
    <row r="22" spans="2:15" x14ac:dyDescent="0.2">
      <c r="B22" s="371"/>
      <c r="C22" s="371" t="s">
        <v>592</v>
      </c>
      <c r="D22" s="371"/>
      <c r="E22" s="371"/>
      <c r="F22" s="371"/>
      <c r="G22" s="371"/>
      <c r="H22" s="371"/>
      <c r="I22" s="371"/>
      <c r="J22" s="371"/>
      <c r="K22" s="371"/>
      <c r="L22" s="371"/>
      <c r="M22" s="371"/>
      <c r="N22" s="371"/>
      <c r="O22" s="371"/>
    </row>
    <row r="23" spans="2:15" x14ac:dyDescent="0.2">
      <c r="B23" s="371"/>
      <c r="C23" s="371" t="s">
        <v>593</v>
      </c>
      <c r="D23" s="371"/>
      <c r="E23" s="371"/>
      <c r="F23" s="371"/>
      <c r="G23" s="371"/>
      <c r="H23" s="371"/>
      <c r="I23" s="371"/>
      <c r="J23" s="371"/>
      <c r="K23" s="371"/>
      <c r="L23" s="371"/>
      <c r="M23" s="371"/>
      <c r="N23" s="371"/>
      <c r="O23" s="371"/>
    </row>
    <row r="24" spans="2:15" x14ac:dyDescent="0.2">
      <c r="B24" s="371"/>
      <c r="C24" s="371"/>
      <c r="D24" s="371"/>
      <c r="E24" s="371"/>
      <c r="F24" s="371"/>
      <c r="G24" s="371"/>
      <c r="H24" s="371"/>
      <c r="I24" s="371"/>
      <c r="J24" s="371"/>
      <c r="K24" s="371"/>
      <c r="L24" s="371"/>
      <c r="M24" s="371"/>
      <c r="N24" s="371"/>
      <c r="O24" s="371"/>
    </row>
    <row r="25" spans="2:15" x14ac:dyDescent="0.2">
      <c r="B25" s="371"/>
      <c r="C25" s="371"/>
      <c r="D25" s="371"/>
      <c r="E25" s="371"/>
      <c r="F25" s="371"/>
      <c r="G25" s="371"/>
      <c r="H25" s="371"/>
      <c r="I25" s="371"/>
      <c r="J25" s="371"/>
      <c r="K25" s="371"/>
      <c r="L25" s="371"/>
      <c r="M25" s="371"/>
      <c r="N25" s="371"/>
      <c r="O25" s="371"/>
    </row>
    <row r="26" spans="2:15" x14ac:dyDescent="0.2">
      <c r="B26" s="371"/>
      <c r="C26" s="371"/>
      <c r="D26" s="371"/>
      <c r="E26" s="371"/>
      <c r="F26" s="371"/>
      <c r="G26" s="371"/>
      <c r="H26" s="371"/>
      <c r="I26" s="371"/>
      <c r="J26" s="371"/>
      <c r="K26" s="371"/>
      <c r="L26" s="371"/>
      <c r="M26" s="371"/>
      <c r="N26" s="371"/>
      <c r="O26" s="371"/>
    </row>
    <row r="27" spans="2:15" x14ac:dyDescent="0.2">
      <c r="B27" s="371"/>
      <c r="C27" s="371"/>
      <c r="D27" s="371"/>
      <c r="E27" s="371"/>
      <c r="F27" s="371"/>
      <c r="G27" s="371"/>
      <c r="H27" s="371"/>
      <c r="I27" s="371"/>
      <c r="J27" s="371"/>
      <c r="K27" s="371"/>
      <c r="L27" s="371"/>
      <c r="M27" s="371"/>
      <c r="N27" s="371"/>
      <c r="O27" s="371"/>
    </row>
    <row r="28" spans="2:15" x14ac:dyDescent="0.2">
      <c r="B28" s="371"/>
      <c r="C28" s="371"/>
      <c r="D28" s="371"/>
      <c r="E28" s="371"/>
      <c r="F28" s="371"/>
      <c r="G28" s="371"/>
      <c r="H28" s="371"/>
      <c r="I28" s="371"/>
      <c r="J28" s="371"/>
      <c r="K28" s="371"/>
      <c r="L28" s="371"/>
      <c r="M28" s="371"/>
      <c r="N28" s="371"/>
      <c r="O28" s="371"/>
    </row>
    <row r="29" spans="2:15" x14ac:dyDescent="0.2">
      <c r="B29" s="371"/>
      <c r="C29" s="371"/>
      <c r="D29" s="371"/>
      <c r="E29" s="371"/>
      <c r="F29" s="371"/>
      <c r="G29" s="371"/>
      <c r="H29" s="371"/>
      <c r="I29" s="371"/>
      <c r="J29" s="371"/>
      <c r="K29" s="371"/>
      <c r="L29" s="371"/>
      <c r="M29" s="371"/>
      <c r="N29" s="371"/>
      <c r="O29" s="371"/>
    </row>
    <row r="30" spans="2:15" x14ac:dyDescent="0.2">
      <c r="B30" s="371"/>
      <c r="C30" s="371"/>
      <c r="D30" s="371"/>
      <c r="E30" s="371"/>
      <c r="F30" s="371"/>
      <c r="G30" s="371"/>
      <c r="H30" s="371"/>
      <c r="I30" s="371"/>
      <c r="J30" s="371"/>
      <c r="K30" s="371"/>
      <c r="L30" s="371"/>
      <c r="M30" s="371"/>
      <c r="N30" s="371"/>
      <c r="O30" s="371"/>
    </row>
    <row r="31" spans="2:15" x14ac:dyDescent="0.2">
      <c r="B31" s="371"/>
      <c r="C31" s="371"/>
      <c r="D31" s="371"/>
      <c r="E31" s="371"/>
      <c r="F31" s="371"/>
      <c r="G31" s="371"/>
      <c r="H31" s="371"/>
      <c r="I31" s="371"/>
      <c r="J31" s="371"/>
      <c r="K31" s="371"/>
      <c r="L31" s="371"/>
      <c r="M31" s="371"/>
      <c r="N31" s="371"/>
      <c r="O31" s="37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5519-A167-AD48-9FBE-23D985695558}">
  <sheetPr codeName="Sheet4"/>
  <dimension ref="A1:C31"/>
  <sheetViews>
    <sheetView zoomScaleNormal="88" workbookViewId="0">
      <selection activeCell="B16" sqref="B16"/>
    </sheetView>
  </sheetViews>
  <sheetFormatPr baseColWidth="10" defaultColWidth="10.83203125" defaultRowHeight="14" x14ac:dyDescent="0.2"/>
  <cols>
    <col min="1" max="1" width="5.33203125" style="80" customWidth="1"/>
    <col min="2" max="2" width="153.33203125" style="81" customWidth="1"/>
    <col min="3" max="3" width="10.83203125" style="152" customWidth="1"/>
    <col min="4" max="16384" width="10.83203125" style="9"/>
  </cols>
  <sheetData>
    <row r="1" spans="1:2" ht="15" x14ac:dyDescent="0.2">
      <c r="A1" s="376" t="s">
        <v>0</v>
      </c>
      <c r="B1" s="377" t="s">
        <v>1</v>
      </c>
    </row>
    <row r="2" spans="1:2" ht="15" x14ac:dyDescent="0.2">
      <c r="A2" s="80">
        <v>1</v>
      </c>
      <c r="B2" s="81" t="s">
        <v>576</v>
      </c>
    </row>
    <row r="3" spans="1:2" ht="45" x14ac:dyDescent="0.2">
      <c r="A3" s="80">
        <f>A2+1</f>
        <v>2</v>
      </c>
      <c r="B3" s="81" t="s">
        <v>565</v>
      </c>
    </row>
    <row r="4" spans="1:2" ht="75" x14ac:dyDescent="0.2">
      <c r="A4" s="80">
        <f t="shared" ref="A4:A31" si="0">A3+1</f>
        <v>3</v>
      </c>
      <c r="B4" s="81" t="s">
        <v>566</v>
      </c>
    </row>
    <row r="5" spans="1:2" ht="15" x14ac:dyDescent="0.2">
      <c r="A5" s="80">
        <f t="shared" si="0"/>
        <v>4</v>
      </c>
      <c r="B5" s="81" t="s">
        <v>552</v>
      </c>
    </row>
    <row r="6" spans="1:2" ht="15" x14ac:dyDescent="0.2">
      <c r="A6" s="80">
        <f t="shared" si="0"/>
        <v>5</v>
      </c>
      <c r="B6" s="81" t="s">
        <v>553</v>
      </c>
    </row>
    <row r="7" spans="1:2" ht="45" x14ac:dyDescent="0.2">
      <c r="A7" s="80">
        <f t="shared" si="0"/>
        <v>6</v>
      </c>
      <c r="B7" s="81" t="s">
        <v>554</v>
      </c>
    </row>
    <row r="8" spans="1:2" ht="15" x14ac:dyDescent="0.2">
      <c r="A8" s="80">
        <f t="shared" si="0"/>
        <v>7</v>
      </c>
      <c r="B8" s="81" t="s">
        <v>564</v>
      </c>
    </row>
    <row r="9" spans="1:2" ht="45" x14ac:dyDescent="0.2">
      <c r="A9" s="80">
        <f t="shared" si="0"/>
        <v>8</v>
      </c>
      <c r="B9" s="81" t="s">
        <v>563</v>
      </c>
    </row>
    <row r="10" spans="1:2" ht="30" x14ac:dyDescent="0.2">
      <c r="A10" s="80">
        <f t="shared" si="0"/>
        <v>9</v>
      </c>
      <c r="B10" s="81" t="s">
        <v>556</v>
      </c>
    </row>
    <row r="11" spans="1:2" ht="15" x14ac:dyDescent="0.2">
      <c r="A11" s="80">
        <f t="shared" si="0"/>
        <v>10</v>
      </c>
      <c r="B11" s="81" t="s">
        <v>567</v>
      </c>
    </row>
    <row r="12" spans="1:2" ht="15" x14ac:dyDescent="0.2">
      <c r="A12" s="80">
        <f t="shared" si="0"/>
        <v>11</v>
      </c>
      <c r="B12" s="81" t="s">
        <v>562</v>
      </c>
    </row>
    <row r="13" spans="1:2" ht="15" x14ac:dyDescent="0.2">
      <c r="A13" s="80">
        <f t="shared" si="0"/>
        <v>12</v>
      </c>
      <c r="B13" s="81" t="s">
        <v>568</v>
      </c>
    </row>
    <row r="14" spans="1:2" ht="30" x14ac:dyDescent="0.2">
      <c r="A14" s="80">
        <f t="shared" si="0"/>
        <v>13</v>
      </c>
      <c r="B14" s="81" t="s">
        <v>569</v>
      </c>
    </row>
    <row r="15" spans="1:2" ht="15" x14ac:dyDescent="0.2">
      <c r="A15" s="80">
        <f t="shared" si="0"/>
        <v>14</v>
      </c>
      <c r="B15" s="81" t="s">
        <v>573</v>
      </c>
    </row>
    <row r="16" spans="1:2" ht="15" x14ac:dyDescent="0.2">
      <c r="A16" s="80">
        <f t="shared" si="0"/>
        <v>15</v>
      </c>
      <c r="B16" s="81" t="s">
        <v>570</v>
      </c>
    </row>
    <row r="17" spans="1:3" ht="15" x14ac:dyDescent="0.2">
      <c r="A17" s="80">
        <f t="shared" si="0"/>
        <v>16</v>
      </c>
      <c r="B17" s="81" t="s">
        <v>571</v>
      </c>
    </row>
    <row r="18" spans="1:3" ht="15" x14ac:dyDescent="0.2">
      <c r="A18" s="80">
        <f t="shared" si="0"/>
        <v>17</v>
      </c>
      <c r="B18" s="81" t="s">
        <v>560</v>
      </c>
    </row>
    <row r="19" spans="1:3" ht="15" x14ac:dyDescent="0.2">
      <c r="A19" s="80">
        <f t="shared" si="0"/>
        <v>18</v>
      </c>
      <c r="B19" s="81" t="s">
        <v>561</v>
      </c>
    </row>
    <row r="20" spans="1:3" ht="15" x14ac:dyDescent="0.2">
      <c r="A20" s="80">
        <f t="shared" si="0"/>
        <v>19</v>
      </c>
      <c r="B20" s="81" t="s">
        <v>557</v>
      </c>
    </row>
    <row r="21" spans="1:3" ht="30" x14ac:dyDescent="0.2">
      <c r="A21" s="80">
        <f t="shared" si="0"/>
        <v>20</v>
      </c>
      <c r="B21" s="81" t="s">
        <v>572</v>
      </c>
    </row>
    <row r="22" spans="1:3" ht="15" x14ac:dyDescent="0.2">
      <c r="A22" s="80">
        <f t="shared" si="0"/>
        <v>21</v>
      </c>
      <c r="B22" s="81" t="s">
        <v>574</v>
      </c>
    </row>
    <row r="23" spans="1:3" ht="15" x14ac:dyDescent="0.2">
      <c r="A23" s="80">
        <f t="shared" si="0"/>
        <v>22</v>
      </c>
      <c r="B23" s="81" t="s">
        <v>575</v>
      </c>
    </row>
    <row r="24" spans="1:3" ht="76" customHeight="1" x14ac:dyDescent="0.2">
      <c r="A24" s="80">
        <f t="shared" si="0"/>
        <v>23</v>
      </c>
      <c r="B24" s="81" t="s">
        <v>2</v>
      </c>
    </row>
    <row r="25" spans="1:3" ht="75" x14ac:dyDescent="0.2">
      <c r="A25" s="80">
        <f t="shared" si="0"/>
        <v>24</v>
      </c>
      <c r="B25" s="81" t="s">
        <v>559</v>
      </c>
    </row>
    <row r="26" spans="1:3" ht="60" x14ac:dyDescent="0.2">
      <c r="A26" s="80">
        <f t="shared" si="0"/>
        <v>25</v>
      </c>
      <c r="B26" s="81" t="s">
        <v>3</v>
      </c>
    </row>
    <row r="27" spans="1:3" ht="26" customHeight="1" x14ac:dyDescent="0.2">
      <c r="A27" s="80">
        <f t="shared" si="0"/>
        <v>26</v>
      </c>
      <c r="B27" s="81" t="s">
        <v>4</v>
      </c>
      <c r="C27" s="246" t="s">
        <v>5</v>
      </c>
    </row>
    <row r="28" spans="1:3" ht="15" x14ac:dyDescent="0.2">
      <c r="A28" s="80">
        <f t="shared" si="0"/>
        <v>27</v>
      </c>
      <c r="B28" s="81" t="s">
        <v>6</v>
      </c>
      <c r="C28" s="246" t="s">
        <v>7</v>
      </c>
    </row>
    <row r="29" spans="1:3" ht="15" x14ac:dyDescent="0.2">
      <c r="A29" s="80">
        <f t="shared" si="0"/>
        <v>28</v>
      </c>
      <c r="B29" s="81" t="s">
        <v>558</v>
      </c>
    </row>
    <row r="30" spans="1:3" ht="15" x14ac:dyDescent="0.2">
      <c r="A30" s="80">
        <f t="shared" si="0"/>
        <v>29</v>
      </c>
      <c r="B30" s="81" t="s">
        <v>596</v>
      </c>
      <c r="C30" s="246" t="s">
        <v>8</v>
      </c>
    </row>
    <row r="31" spans="1:3" ht="15" x14ac:dyDescent="0.2">
      <c r="A31" s="80">
        <f t="shared" si="0"/>
        <v>30</v>
      </c>
      <c r="B31" s="81" t="s">
        <v>9</v>
      </c>
      <c r="C31" s="246" t="s">
        <v>10</v>
      </c>
    </row>
  </sheetData>
  <hyperlinks>
    <hyperlink ref="C27" r:id="rId1" xr:uid="{3C7780F6-5CFD-3F4C-AB4D-3D11C5BAD923}"/>
    <hyperlink ref="C28" r:id="rId2" location=":~:text=GDP%20Annual%20Growth%20Rate%20in,the%20second%20quarter%20of%202020." xr:uid="{5AFB8F97-169C-F14E-807D-7A84641E9B8C}"/>
    <hyperlink ref="C30" r:id="rId3" xr:uid="{3C510A58-C612-4539-879C-AA20EAB1B606}"/>
    <hyperlink ref="C31" r:id="rId4" location=":~:text=The%20average%20market%20risk%20premium,and%205.7%20percent%20since%202011. " xr:uid="{A79A3AF3-E5BB-DB4F-B6FE-BC63E59C2082}"/>
  </hyperlinks>
  <pageMargins left="0.7" right="0.7" top="0.75" bottom="0.75" header="0.3" footer="0.3"/>
  <pageSetup orientation="portrait" horizontalDpi="0" verticalDpi="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08F0D-F954-7045-ACB9-656BFCDAC701}">
  <sheetPr codeName="Sheet1"/>
  <dimension ref="A2:N63"/>
  <sheetViews>
    <sheetView showGridLines="0" zoomScaleNormal="100" workbookViewId="0">
      <selection activeCell="F18" sqref="F18"/>
    </sheetView>
  </sheetViews>
  <sheetFormatPr baseColWidth="10" defaultColWidth="11" defaultRowHeight="14" x14ac:dyDescent="0.2"/>
  <cols>
    <col min="1" max="1" width="3.83203125" style="247" customWidth="1"/>
    <col min="2" max="2" width="32" style="9" customWidth="1"/>
    <col min="3" max="15" width="11" style="9"/>
    <col min="16" max="16" width="13.5" style="9" customWidth="1"/>
    <col min="17" max="17" width="17" style="9" customWidth="1"/>
    <col min="18" max="16384" width="11" style="9"/>
  </cols>
  <sheetData>
    <row r="2" spans="2:14" x14ac:dyDescent="0.2">
      <c r="B2" s="163" t="s">
        <v>11</v>
      </c>
      <c r="C2" s="243">
        <f>'DCF Valuation'!C3</f>
        <v>1</v>
      </c>
      <c r="D2" s="71" t="s">
        <v>12</v>
      </c>
    </row>
    <row r="4" spans="2:14" x14ac:dyDescent="0.2">
      <c r="B4" s="378" t="s">
        <v>13</v>
      </c>
      <c r="C4" s="379"/>
    </row>
    <row r="5" spans="2:14" x14ac:dyDescent="0.2">
      <c r="B5" s="238">
        <v>1</v>
      </c>
      <c r="C5" s="19" t="s">
        <v>14</v>
      </c>
    </row>
    <row r="6" spans="2:14" x14ac:dyDescent="0.2">
      <c r="B6" s="238">
        <v>2</v>
      </c>
      <c r="C6" s="19" t="s">
        <v>15</v>
      </c>
    </row>
    <row r="7" spans="2:14" x14ac:dyDescent="0.2">
      <c r="B7" s="239">
        <v>3</v>
      </c>
      <c r="C7" s="240" t="s">
        <v>16</v>
      </c>
    </row>
    <row r="10" spans="2:14" x14ac:dyDescent="0.2">
      <c r="B10" s="64" t="str">
        <f>CONCATENATE("Selected: ", CHOOSE($C$2,B20,B30,B41))</f>
        <v>Selected: Base Case</v>
      </c>
      <c r="C10" s="86" t="s">
        <v>17</v>
      </c>
      <c r="D10" s="86">
        <v>2017</v>
      </c>
      <c r="E10" s="86">
        <f t="shared" ref="E10" si="0">D10+1</f>
        <v>2018</v>
      </c>
      <c r="F10" s="86">
        <f t="shared" ref="F10" si="1">E10+1</f>
        <v>2019</v>
      </c>
      <c r="G10" s="86">
        <f t="shared" ref="G10" si="2">F10+1</f>
        <v>2020</v>
      </c>
      <c r="H10" s="86">
        <f t="shared" ref="H10" si="3">G10+1</f>
        <v>2021</v>
      </c>
      <c r="I10" s="87">
        <f t="shared" ref="I10" si="4">H10+1</f>
        <v>2022</v>
      </c>
      <c r="J10" s="87">
        <f t="shared" ref="J10" si="5">I10+1</f>
        <v>2023</v>
      </c>
      <c r="K10" s="87">
        <f t="shared" ref="K10" si="6">J10+1</f>
        <v>2024</v>
      </c>
      <c r="L10" s="87">
        <f t="shared" ref="L10" si="7">K10+1</f>
        <v>2025</v>
      </c>
      <c r="M10" s="88">
        <f t="shared" ref="M10" si="8">L10+1</f>
        <v>2026</v>
      </c>
    </row>
    <row r="11" spans="2:14" x14ac:dyDescent="0.2">
      <c r="B11" s="89"/>
      <c r="C11" s="71"/>
      <c r="D11" s="71"/>
      <c r="E11" s="71"/>
      <c r="F11" s="71"/>
      <c r="G11" s="71"/>
      <c r="H11" s="71"/>
      <c r="I11" s="71"/>
      <c r="J11" s="71"/>
      <c r="K11" s="71"/>
      <c r="L11" s="71"/>
      <c r="M11" s="90"/>
    </row>
    <row r="12" spans="2:14" x14ac:dyDescent="0.2">
      <c r="B12" s="89" t="s">
        <v>18</v>
      </c>
      <c r="C12" s="24">
        <f>CHOOSE($C$2,C22,C32,C43)</f>
        <v>0</v>
      </c>
      <c r="D12" s="24">
        <f t="shared" ref="D12:M12" si="9">CHOOSE($C$2,D22,D32,D43)</f>
        <v>-3.1242489786109107E-2</v>
      </c>
      <c r="E12" s="24">
        <f t="shared" si="9"/>
        <v>0.32167369552633751</v>
      </c>
      <c r="F12" s="24">
        <f t="shared" si="9"/>
        <v>8.1774385284364648E-2</v>
      </c>
      <c r="G12" s="24">
        <f t="shared" si="9"/>
        <v>-1.0005783689994163E-2</v>
      </c>
      <c r="H12" s="24">
        <f t="shared" si="9"/>
        <v>0.18291756733072395</v>
      </c>
      <c r="I12" s="24">
        <f t="shared" si="9"/>
        <v>-1.7210735975576763E-2</v>
      </c>
      <c r="J12" s="24">
        <f t="shared" si="9"/>
        <v>3.1744317894239593E-2</v>
      </c>
      <c r="K12" s="24">
        <f t="shared" si="9"/>
        <v>3.1884957978484341E-2</v>
      </c>
      <c r="L12" s="24">
        <f t="shared" si="9"/>
        <v>3.2025073668819681E-2</v>
      </c>
      <c r="M12" s="68">
        <f t="shared" si="9"/>
        <v>3.2164628973596621E-2</v>
      </c>
    </row>
    <row r="13" spans="2:14" x14ac:dyDescent="0.2">
      <c r="B13" s="89" t="s">
        <v>19</v>
      </c>
      <c r="C13" s="24">
        <f t="shared" ref="C13:M18" si="10">CHOOSE($C$2,C23,C33,C44)</f>
        <v>0.4359528959384763</v>
      </c>
      <c r="D13" s="24">
        <f t="shared" si="10"/>
        <v>0.43099313652526255</v>
      </c>
      <c r="E13" s="24">
        <f t="shared" si="10"/>
        <v>0.42914346493148969</v>
      </c>
      <c r="F13" s="24">
        <f t="shared" si="10"/>
        <v>0.3974551764025448</v>
      </c>
      <c r="G13" s="24">
        <f t="shared" si="10"/>
        <v>0.43874510720336507</v>
      </c>
      <c r="H13" s="24">
        <f t="shared" si="10"/>
        <v>0.42661003555906757</v>
      </c>
      <c r="I13" s="24">
        <f t="shared" si="10"/>
        <v>0.45648330276003435</v>
      </c>
      <c r="J13" s="24">
        <f t="shared" si="10"/>
        <v>0.45648330276003435</v>
      </c>
      <c r="K13" s="24">
        <f t="shared" si="10"/>
        <v>0.45648330276003435</v>
      </c>
      <c r="L13" s="24">
        <f t="shared" si="10"/>
        <v>0.45648330276003435</v>
      </c>
      <c r="M13" s="68">
        <f t="shared" si="10"/>
        <v>0.45648330276003435</v>
      </c>
      <c r="N13" s="249" t="s">
        <v>52</v>
      </c>
    </row>
    <row r="14" spans="2:14" x14ac:dyDescent="0.2">
      <c r="B14" s="89" t="s">
        <v>20</v>
      </c>
      <c r="C14" s="24">
        <f t="shared" si="10"/>
        <v>0.30705759833373386</v>
      </c>
      <c r="D14" s="24">
        <f t="shared" si="10"/>
        <v>0.30587943438352766</v>
      </c>
      <c r="E14" s="24">
        <f t="shared" si="10"/>
        <v>0.31408371394606771</v>
      </c>
      <c r="F14" s="24">
        <f t="shared" si="10"/>
        <v>0.31197223828802778</v>
      </c>
      <c r="G14" s="24">
        <f t="shared" si="10"/>
        <v>0.31670269322895367</v>
      </c>
      <c r="H14" s="24">
        <f t="shared" si="10"/>
        <v>0.30649940734887399</v>
      </c>
      <c r="I14" s="24">
        <f t="shared" si="10"/>
        <v>0.35036584758819744</v>
      </c>
      <c r="J14" s="24">
        <f t="shared" si="10"/>
        <v>0.35036584758819744</v>
      </c>
      <c r="K14" s="24">
        <f t="shared" si="10"/>
        <v>0.35036584758819744</v>
      </c>
      <c r="L14" s="24">
        <f t="shared" si="10"/>
        <v>0.35036584758819744</v>
      </c>
      <c r="M14" s="68">
        <f t="shared" si="10"/>
        <v>0.35036584758819744</v>
      </c>
      <c r="N14" s="249" t="s">
        <v>55</v>
      </c>
    </row>
    <row r="15" spans="2:14" x14ac:dyDescent="0.2">
      <c r="B15" s="89" t="s">
        <v>21</v>
      </c>
      <c r="C15" s="24">
        <f t="shared" si="10"/>
        <v>8.4114395577986056E-2</v>
      </c>
      <c r="D15" s="24">
        <f t="shared" si="10"/>
        <v>7.7648226246588931E-2</v>
      </c>
      <c r="E15" s="24">
        <f t="shared" si="10"/>
        <v>0.116060814615529</v>
      </c>
      <c r="F15" s="24">
        <f t="shared" si="10"/>
        <v>0.12319259687680741</v>
      </c>
      <c r="G15" s="24">
        <f t="shared" si="10"/>
        <v>0.11859554828533038</v>
      </c>
      <c r="H15" s="24">
        <f t="shared" si="10"/>
        <v>0.10539312524693797</v>
      </c>
      <c r="I15" s="24">
        <f t="shared" si="10"/>
        <v>0.10416745114152996</v>
      </c>
      <c r="J15" s="24">
        <f t="shared" si="10"/>
        <v>0.10416745114152996</v>
      </c>
      <c r="K15" s="24">
        <f t="shared" si="10"/>
        <v>0.10416745114152996</v>
      </c>
      <c r="L15" s="24">
        <f t="shared" si="10"/>
        <v>0.10416745114152996</v>
      </c>
      <c r="M15" s="68">
        <f t="shared" si="10"/>
        <v>0.10416745114152996</v>
      </c>
      <c r="N15" s="249" t="s">
        <v>58</v>
      </c>
    </row>
    <row r="16" spans="2:14" x14ac:dyDescent="0.2">
      <c r="B16" s="89" t="s">
        <v>22</v>
      </c>
      <c r="C16" s="24">
        <f t="shared" si="10"/>
        <v>5.751822478570856E-2</v>
      </c>
      <c r="D16" s="24">
        <f t="shared" si="10"/>
        <v>6.0117423302737123E-2</v>
      </c>
      <c r="E16" s="24">
        <f t="shared" si="10"/>
        <v>5.5996996809109682E-2</v>
      </c>
      <c r="F16" s="24">
        <f t="shared" si="10"/>
        <v>5.5349913244650085E-2</v>
      </c>
      <c r="G16" s="24">
        <f t="shared" si="10"/>
        <v>4.732137640941754E-2</v>
      </c>
      <c r="H16" s="24">
        <f t="shared" si="10"/>
        <v>6.0796128012643225E-2</v>
      </c>
      <c r="I16" s="24">
        <f t="shared" si="10"/>
        <v>6.6183343760711041E-2</v>
      </c>
      <c r="J16" s="24">
        <f t="shared" si="10"/>
        <v>7.6183343760711036E-2</v>
      </c>
      <c r="K16" s="24">
        <f t="shared" si="10"/>
        <v>8.6183343760711045E-2</v>
      </c>
      <c r="L16" s="24">
        <f t="shared" si="10"/>
        <v>9.618334376071104E-2</v>
      </c>
      <c r="M16" s="68">
        <f t="shared" si="10"/>
        <v>0.10618334376071104</v>
      </c>
      <c r="N16" s="249" t="s">
        <v>71</v>
      </c>
    </row>
    <row r="17" spans="1:14" x14ac:dyDescent="0.2">
      <c r="B17" s="89" t="s">
        <v>23</v>
      </c>
      <c r="C17" s="24">
        <f t="shared" si="10"/>
        <v>3.1963470319634701E-2</v>
      </c>
      <c r="D17" s="24">
        <f t="shared" si="10"/>
        <v>-3.0678905151740675E-2</v>
      </c>
      <c r="E17" s="24">
        <f t="shared" si="10"/>
        <v>5.6122129762873049E-2</v>
      </c>
      <c r="F17" s="24">
        <f t="shared" si="10"/>
        <v>-2.1341816078658184E-2</v>
      </c>
      <c r="G17" s="24">
        <f t="shared" si="10"/>
        <v>6.6016241163755329E-3</v>
      </c>
      <c r="H17" s="24">
        <f t="shared" si="10"/>
        <v>1.6495456341367048E-2</v>
      </c>
      <c r="I17" s="24">
        <f t="shared" si="10"/>
        <v>9.8603265516419136E-3</v>
      </c>
      <c r="J17" s="24">
        <f t="shared" si="10"/>
        <v>9.8603265516419136E-3</v>
      </c>
      <c r="K17" s="24">
        <f t="shared" si="10"/>
        <v>9.8603265516419136E-3</v>
      </c>
      <c r="L17" s="24">
        <f t="shared" si="10"/>
        <v>9.8603265516419136E-3</v>
      </c>
      <c r="M17" s="68">
        <f t="shared" si="10"/>
        <v>9.8603265516419136E-3</v>
      </c>
      <c r="N17" s="249" t="s">
        <v>68</v>
      </c>
    </row>
    <row r="18" spans="1:14" x14ac:dyDescent="0.2">
      <c r="B18" s="92" t="s">
        <v>24</v>
      </c>
      <c r="C18" s="241">
        <f t="shared" si="10"/>
        <v>9.1247672253258846E-2</v>
      </c>
      <c r="D18" s="241">
        <f t="shared" si="10"/>
        <v>-0.12704918032786885</v>
      </c>
      <c r="E18" s="241">
        <f t="shared" si="10"/>
        <v>0.73486786018755323</v>
      </c>
      <c r="F18" s="241">
        <f t="shared" si="10"/>
        <v>-4.8469387755102039E-2</v>
      </c>
      <c r="G18" s="241">
        <f t="shared" si="10"/>
        <v>0.11269035532994924</v>
      </c>
      <c r="H18" s="241">
        <f t="shared" si="10"/>
        <v>6.690454950936664E-2</v>
      </c>
      <c r="I18" s="241">
        <f t="shared" si="10"/>
        <v>0.21</v>
      </c>
      <c r="J18" s="241">
        <f t="shared" si="10"/>
        <v>0.21</v>
      </c>
      <c r="K18" s="241">
        <f t="shared" si="10"/>
        <v>0.21</v>
      </c>
      <c r="L18" s="241">
        <f t="shared" si="10"/>
        <v>0.21</v>
      </c>
      <c r="M18" s="242">
        <f t="shared" si="10"/>
        <v>0.21</v>
      </c>
      <c r="N18" s="249" t="s">
        <v>61</v>
      </c>
    </row>
    <row r="20" spans="1:14" x14ac:dyDescent="0.2">
      <c r="B20" s="64" t="s">
        <v>25</v>
      </c>
      <c r="C20" s="86" t="s">
        <v>17</v>
      </c>
      <c r="D20" s="86">
        <v>2017</v>
      </c>
      <c r="E20" s="86">
        <f t="shared" ref="E20:M20" si="11">D20+1</f>
        <v>2018</v>
      </c>
      <c r="F20" s="86">
        <f t="shared" si="11"/>
        <v>2019</v>
      </c>
      <c r="G20" s="86">
        <f t="shared" si="11"/>
        <v>2020</v>
      </c>
      <c r="H20" s="86">
        <f t="shared" si="11"/>
        <v>2021</v>
      </c>
      <c r="I20" s="87">
        <f t="shared" si="11"/>
        <v>2022</v>
      </c>
      <c r="J20" s="87">
        <f t="shared" si="11"/>
        <v>2023</v>
      </c>
      <c r="K20" s="87">
        <f t="shared" si="11"/>
        <v>2024</v>
      </c>
      <c r="L20" s="87">
        <f t="shared" si="11"/>
        <v>2025</v>
      </c>
      <c r="M20" s="88">
        <f t="shared" si="11"/>
        <v>2026</v>
      </c>
    </row>
    <row r="21" spans="1:14" s="71" customFormat="1" x14ac:dyDescent="0.2">
      <c r="A21" s="248"/>
      <c r="B21" s="89"/>
      <c r="M21" s="90"/>
    </row>
    <row r="22" spans="1:14" s="71" customFormat="1" x14ac:dyDescent="0.2">
      <c r="A22" s="248"/>
      <c r="B22" s="89" t="s">
        <v>18</v>
      </c>
      <c r="C22" s="23"/>
      <c r="D22" s="24">
        <f>'Revenue Model'!D14</f>
        <v>-3.1242489786109107E-2</v>
      </c>
      <c r="E22" s="24">
        <f>'Revenue Model'!E14</f>
        <v>0.32167369552633751</v>
      </c>
      <c r="F22" s="24">
        <f>'Revenue Model'!F14</f>
        <v>8.1774385284364648E-2</v>
      </c>
      <c r="G22" s="24">
        <f>'Revenue Model'!G14</f>
        <v>-1.0005783689994163E-2</v>
      </c>
      <c r="H22" s="24">
        <f>'Revenue Model'!H14</f>
        <v>0.18291756733072395</v>
      </c>
      <c r="I22" s="24">
        <f>'Revenue Model'!I14</f>
        <v>-1.7210735975576763E-2</v>
      </c>
      <c r="J22" s="24">
        <f>'Revenue Model'!J14</f>
        <v>3.1744317894239593E-2</v>
      </c>
      <c r="K22" s="24">
        <f>'Revenue Model'!K14</f>
        <v>3.1884957978484341E-2</v>
      </c>
      <c r="L22" s="24">
        <f>'Revenue Model'!L14</f>
        <v>3.2025073668819681E-2</v>
      </c>
      <c r="M22" s="68">
        <f>'Revenue Model'!M14</f>
        <v>3.2164628973596621E-2</v>
      </c>
      <c r="N22" s="71" t="s">
        <v>26</v>
      </c>
    </row>
    <row r="23" spans="1:14" s="71" customFormat="1" x14ac:dyDescent="0.2">
      <c r="A23" s="248"/>
      <c r="B23" s="89" t="s">
        <v>19</v>
      </c>
      <c r="C23" s="24">
        <f>'Historical Analysis'!C8</f>
        <v>0.4359528959384763</v>
      </c>
      <c r="D23" s="24">
        <f>'Historical Analysis'!D8</f>
        <v>0.43099313652526255</v>
      </c>
      <c r="E23" s="24">
        <f>'Historical Analysis'!E8</f>
        <v>0.42914346493148969</v>
      </c>
      <c r="F23" s="24">
        <f>'Historical Analysis'!F8</f>
        <v>0.3974551764025448</v>
      </c>
      <c r="G23" s="24">
        <f>'Historical Analysis'!G8</f>
        <v>0.43874510720336507</v>
      </c>
      <c r="H23" s="24">
        <f>'Historical Analysis'!H8</f>
        <v>0.42661003555906757</v>
      </c>
      <c r="I23" s="24">
        <f>'Historical Analysis'!$J$8+0.03</f>
        <v>0.45648330276003435</v>
      </c>
      <c r="J23" s="24">
        <f>'Historical Analysis'!$J$8+0.03</f>
        <v>0.45648330276003435</v>
      </c>
      <c r="K23" s="24">
        <f>'Historical Analysis'!$J$8+0.03</f>
        <v>0.45648330276003435</v>
      </c>
      <c r="L23" s="24">
        <f>'Historical Analysis'!$J$8+0.03</f>
        <v>0.45648330276003435</v>
      </c>
      <c r="M23" s="68">
        <f>'Historical Analysis'!$J$8+0.03</f>
        <v>0.45648330276003435</v>
      </c>
      <c r="N23" s="71" t="s">
        <v>27</v>
      </c>
    </row>
    <row r="24" spans="1:14" s="71" customFormat="1" x14ac:dyDescent="0.2">
      <c r="A24" s="248"/>
      <c r="B24" s="89" t="s">
        <v>20</v>
      </c>
      <c r="C24" s="24">
        <f>'Historical Analysis'!C11</f>
        <v>0.30705759833373386</v>
      </c>
      <c r="D24" s="24">
        <f>'Historical Analysis'!D11</f>
        <v>0.30587943438352766</v>
      </c>
      <c r="E24" s="24">
        <f>'Historical Analysis'!E11</f>
        <v>0.31408371394606771</v>
      </c>
      <c r="F24" s="24">
        <f>'Historical Analysis'!F11</f>
        <v>0.31197223828802778</v>
      </c>
      <c r="G24" s="24">
        <f>'Historical Analysis'!G11</f>
        <v>0.31670269322895367</v>
      </c>
      <c r="H24" s="24">
        <f>'Historical Analysis'!H11</f>
        <v>0.30649940734887399</v>
      </c>
      <c r="I24" s="24">
        <f>'Historical Analysis'!$J$11+0.04</f>
        <v>0.35036584758819744</v>
      </c>
      <c r="J24" s="24">
        <f>'Historical Analysis'!$J$11+0.04</f>
        <v>0.35036584758819744</v>
      </c>
      <c r="K24" s="24">
        <f>'Historical Analysis'!$J$11+0.04</f>
        <v>0.35036584758819744</v>
      </c>
      <c r="L24" s="24">
        <f>'Historical Analysis'!$J$11+0.04</f>
        <v>0.35036584758819744</v>
      </c>
      <c r="M24" s="68">
        <f>'Historical Analysis'!$J$11+0.04</f>
        <v>0.35036584758819744</v>
      </c>
      <c r="N24" s="71" t="s">
        <v>27</v>
      </c>
    </row>
    <row r="25" spans="1:14" s="71" customFormat="1" x14ac:dyDescent="0.2">
      <c r="A25" s="248"/>
      <c r="B25" s="89" t="s">
        <v>21</v>
      </c>
      <c r="C25" s="72">
        <f>'Historical Analysis'!C14</f>
        <v>8.4114395577986056E-2</v>
      </c>
      <c r="D25" s="72">
        <f>'Historical Analysis'!D14</f>
        <v>7.7648226246588931E-2</v>
      </c>
      <c r="E25" s="72">
        <f>'Historical Analysis'!E14</f>
        <v>0.116060814615529</v>
      </c>
      <c r="F25" s="72">
        <f>'Historical Analysis'!F14</f>
        <v>0.12319259687680741</v>
      </c>
      <c r="G25" s="72">
        <f>'Historical Analysis'!G14</f>
        <v>0.11859554828533038</v>
      </c>
      <c r="H25" s="72">
        <f>'Historical Analysis'!H14</f>
        <v>0.10539312524693797</v>
      </c>
      <c r="I25" s="72">
        <f>'Historical Analysis'!$J$14</f>
        <v>0.10416745114152996</v>
      </c>
      <c r="J25" s="72">
        <f>'Historical Analysis'!$J$14</f>
        <v>0.10416745114152996</v>
      </c>
      <c r="K25" s="72">
        <f>'Historical Analysis'!$J$14</f>
        <v>0.10416745114152996</v>
      </c>
      <c r="L25" s="72">
        <f>'Historical Analysis'!$J$14</f>
        <v>0.10416745114152996</v>
      </c>
      <c r="M25" s="91">
        <f>'Historical Analysis'!$J$14</f>
        <v>0.10416745114152996</v>
      </c>
      <c r="N25" s="71" t="s">
        <v>27</v>
      </c>
    </row>
    <row r="26" spans="1:14" s="71" customFormat="1" x14ac:dyDescent="0.2">
      <c r="A26" s="248"/>
      <c r="B26" s="89" t="s">
        <v>22</v>
      </c>
      <c r="C26" s="72">
        <f>'Historical Analysis'!C29</f>
        <v>5.751822478570856E-2</v>
      </c>
      <c r="D26" s="72">
        <f>'Historical Analysis'!D29</f>
        <v>6.0117423302737123E-2</v>
      </c>
      <c r="E26" s="72">
        <f>'Historical Analysis'!E29</f>
        <v>5.5996996809109682E-2</v>
      </c>
      <c r="F26" s="72">
        <f>'Historical Analysis'!F29</f>
        <v>5.5349913244650085E-2</v>
      </c>
      <c r="G26" s="72">
        <f>'Historical Analysis'!G29</f>
        <v>4.732137640941754E-2</v>
      </c>
      <c r="H26" s="72">
        <f>'Historical Analysis'!H29</f>
        <v>6.0796128012643225E-2</v>
      </c>
      <c r="I26" s="72">
        <f>'Historical Analysis'!$J$29+0.01</f>
        <v>6.6183343760711041E-2</v>
      </c>
      <c r="J26" s="72">
        <f>'Historical Analysis'!$J$29+0.02</f>
        <v>7.6183343760711036E-2</v>
      </c>
      <c r="K26" s="72">
        <f>'Historical Analysis'!$J$29+0.03</f>
        <v>8.6183343760711045E-2</v>
      </c>
      <c r="L26" s="72">
        <f>'Historical Analysis'!$J$29+0.04</f>
        <v>9.618334376071104E-2</v>
      </c>
      <c r="M26" s="91">
        <f>'Historical Analysis'!$J$29+0.05</f>
        <v>0.10618334376071104</v>
      </c>
      <c r="N26" s="71" t="s">
        <v>27</v>
      </c>
    </row>
    <row r="27" spans="1:14" s="71" customFormat="1" x14ac:dyDescent="0.2">
      <c r="A27" s="248"/>
      <c r="B27" s="89" t="s">
        <v>23</v>
      </c>
      <c r="C27" s="72">
        <f>'Historical Analysis'!C26</f>
        <v>3.1963470319634701E-2</v>
      </c>
      <c r="D27" s="72">
        <f>'Historical Analysis'!D26</f>
        <v>-3.0678905151740675E-2</v>
      </c>
      <c r="E27" s="72">
        <f>'Historical Analysis'!E26</f>
        <v>5.6122129762873049E-2</v>
      </c>
      <c r="F27" s="72">
        <f>'Historical Analysis'!F26</f>
        <v>-2.1341816078658184E-2</v>
      </c>
      <c r="G27" s="72">
        <f>'Historical Analysis'!G26</f>
        <v>6.6016241163755329E-3</v>
      </c>
      <c r="H27" s="72">
        <f>'Historical Analysis'!H26</f>
        <v>1.6495456341367048E-2</v>
      </c>
      <c r="I27" s="72">
        <f>'Historical Analysis'!$J$26</f>
        <v>9.8603265516419136E-3</v>
      </c>
      <c r="J27" s="72">
        <f>'Historical Analysis'!$J$26</f>
        <v>9.8603265516419136E-3</v>
      </c>
      <c r="K27" s="72">
        <f>'Historical Analysis'!$J$26</f>
        <v>9.8603265516419136E-3</v>
      </c>
      <c r="L27" s="72">
        <f>'Historical Analysis'!$J$26</f>
        <v>9.8603265516419136E-3</v>
      </c>
      <c r="M27" s="91">
        <f>'Historical Analysis'!$J$26</f>
        <v>9.8603265516419136E-3</v>
      </c>
      <c r="N27" s="71" t="s">
        <v>27</v>
      </c>
    </row>
    <row r="28" spans="1:14" s="71" customFormat="1" x14ac:dyDescent="0.2">
      <c r="A28" s="248"/>
      <c r="B28" s="92" t="s">
        <v>24</v>
      </c>
      <c r="C28" s="93">
        <f>'Historical Analysis'!C17</f>
        <v>9.1247672253258846E-2</v>
      </c>
      <c r="D28" s="93">
        <f>'Historical Analysis'!D17</f>
        <v>-0.12704918032786885</v>
      </c>
      <c r="E28" s="93">
        <f>'Historical Analysis'!E17</f>
        <v>0.73486786018755323</v>
      </c>
      <c r="F28" s="93">
        <f>'Historical Analysis'!F17</f>
        <v>-4.8469387755102039E-2</v>
      </c>
      <c r="G28" s="93">
        <f>'Historical Analysis'!G17</f>
        <v>0.11269035532994924</v>
      </c>
      <c r="H28" s="93">
        <f>'Historical Analysis'!H17</f>
        <v>6.690454950936664E-2</v>
      </c>
      <c r="I28" s="93">
        <v>0.21</v>
      </c>
      <c r="J28" s="93">
        <v>0.21</v>
      </c>
      <c r="K28" s="93">
        <v>0.21</v>
      </c>
      <c r="L28" s="93">
        <v>0.21</v>
      </c>
      <c r="M28" s="94">
        <v>0.21</v>
      </c>
      <c r="N28" s="71" t="s">
        <v>27</v>
      </c>
    </row>
    <row r="29" spans="1:14" x14ac:dyDescent="0.2">
      <c r="B29" s="71"/>
      <c r="C29" s="73"/>
      <c r="D29" s="73"/>
      <c r="E29" s="73"/>
      <c r="F29" s="73"/>
      <c r="G29" s="73"/>
      <c r="H29" s="73"/>
      <c r="I29" s="71"/>
      <c r="J29" s="71"/>
      <c r="K29" s="71"/>
      <c r="L29" s="71"/>
      <c r="M29" s="71"/>
      <c r="N29" s="71"/>
    </row>
    <row r="30" spans="1:14" x14ac:dyDescent="0.2">
      <c r="B30" s="64" t="s">
        <v>555</v>
      </c>
      <c r="C30" s="86" t="s">
        <v>17</v>
      </c>
      <c r="D30" s="86">
        <v>2017</v>
      </c>
      <c r="E30" s="86">
        <f t="shared" ref="E30:M30" si="12">D30+1</f>
        <v>2018</v>
      </c>
      <c r="F30" s="86">
        <f t="shared" si="12"/>
        <v>2019</v>
      </c>
      <c r="G30" s="86">
        <f t="shared" si="12"/>
        <v>2020</v>
      </c>
      <c r="H30" s="86">
        <f t="shared" si="12"/>
        <v>2021</v>
      </c>
      <c r="I30" s="87">
        <f t="shared" si="12"/>
        <v>2022</v>
      </c>
      <c r="J30" s="87">
        <f t="shared" si="12"/>
        <v>2023</v>
      </c>
      <c r="K30" s="87">
        <f t="shared" si="12"/>
        <v>2024</v>
      </c>
      <c r="L30" s="87">
        <f t="shared" si="12"/>
        <v>2025</v>
      </c>
      <c r="M30" s="88">
        <f t="shared" si="12"/>
        <v>2026</v>
      </c>
      <c r="N30" s="71"/>
    </row>
    <row r="31" spans="1:14" s="71" customFormat="1" x14ac:dyDescent="0.2">
      <c r="A31" s="248"/>
      <c r="B31" s="89"/>
      <c r="M31" s="90"/>
    </row>
    <row r="32" spans="1:14" s="71" customFormat="1" x14ac:dyDescent="0.2">
      <c r="A32" s="248"/>
      <c r="B32" s="89" t="s">
        <v>18</v>
      </c>
      <c r="C32" s="23"/>
      <c r="D32" s="23">
        <f>'Revenue Model'!D29</f>
        <v>-3.1242489786109107E-2</v>
      </c>
      <c r="E32" s="24">
        <f>'Revenue Model'!E29</f>
        <v>0.32167369552633751</v>
      </c>
      <c r="F32" s="24">
        <f>'Revenue Model'!F29</f>
        <v>8.1774385284364648E-2</v>
      </c>
      <c r="G32" s="24">
        <f>'Revenue Model'!G29</f>
        <v>-1.0005783689994163E-2</v>
      </c>
      <c r="H32" s="24">
        <f>'Revenue Model'!H29</f>
        <v>0.18291756733072395</v>
      </c>
      <c r="I32" s="95">
        <f>I22+0.0025</f>
        <v>-1.4710735975576763E-2</v>
      </c>
      <c r="J32" s="95">
        <f t="shared" ref="J32:M32" si="13">J22+0.0025</f>
        <v>3.4244317894239595E-2</v>
      </c>
      <c r="K32" s="95">
        <f t="shared" si="13"/>
        <v>3.4384957978484343E-2</v>
      </c>
      <c r="L32" s="95">
        <f t="shared" si="13"/>
        <v>3.4525073668819684E-2</v>
      </c>
      <c r="M32" s="18">
        <f t="shared" si="13"/>
        <v>3.4664628973596623E-2</v>
      </c>
      <c r="N32" s="249" t="s">
        <v>29</v>
      </c>
    </row>
    <row r="33" spans="1:14" s="71" customFormat="1" x14ac:dyDescent="0.2">
      <c r="A33" s="248"/>
      <c r="B33" s="89" t="s">
        <v>19</v>
      </c>
      <c r="C33" s="24">
        <f>'Historical Analysis'!C8</f>
        <v>0.4359528959384763</v>
      </c>
      <c r="D33" s="24">
        <f>'Historical Analysis'!D8</f>
        <v>0.43099313652526255</v>
      </c>
      <c r="E33" s="24">
        <f>'Historical Analysis'!E8</f>
        <v>0.42914346493148969</v>
      </c>
      <c r="F33" s="24">
        <f>'Historical Analysis'!F8</f>
        <v>0.3974551764025448</v>
      </c>
      <c r="G33" s="24">
        <f>'Historical Analysis'!G8</f>
        <v>0.43874510720336507</v>
      </c>
      <c r="H33" s="24">
        <f>'Historical Analysis'!H8</f>
        <v>0.42661003555906757</v>
      </c>
      <c r="I33" s="24">
        <f>I23-0.01</f>
        <v>0.44648330276003434</v>
      </c>
      <c r="J33" s="24">
        <f t="shared" ref="J33:M33" si="14">J23-0.01</f>
        <v>0.44648330276003434</v>
      </c>
      <c r="K33" s="24">
        <f t="shared" si="14"/>
        <v>0.44648330276003434</v>
      </c>
      <c r="L33" s="24">
        <f t="shared" si="14"/>
        <v>0.44648330276003434</v>
      </c>
      <c r="M33" s="68">
        <f t="shared" si="14"/>
        <v>0.44648330276003434</v>
      </c>
      <c r="N33" s="249" t="s">
        <v>30</v>
      </c>
    </row>
    <row r="34" spans="1:14" s="71" customFormat="1" x14ac:dyDescent="0.2">
      <c r="A34" s="248"/>
      <c r="B34" s="89" t="s">
        <v>20</v>
      </c>
      <c r="C34" s="24">
        <f>'Historical Analysis'!C11</f>
        <v>0.30705759833373386</v>
      </c>
      <c r="D34" s="24">
        <f>'Historical Analysis'!D11</f>
        <v>0.30587943438352766</v>
      </c>
      <c r="E34" s="24">
        <f>'Historical Analysis'!E11</f>
        <v>0.31408371394606771</v>
      </c>
      <c r="F34" s="24">
        <f>'Historical Analysis'!F11</f>
        <v>0.31197223828802778</v>
      </c>
      <c r="G34" s="24">
        <f>'Historical Analysis'!G11</f>
        <v>0.31670269322895367</v>
      </c>
      <c r="H34" s="24">
        <f>'Historical Analysis'!H11</f>
        <v>0.30649940734887399</v>
      </c>
      <c r="I34" s="24">
        <f>I24-0.01</f>
        <v>0.34036584758819743</v>
      </c>
      <c r="J34" s="24">
        <f t="shared" ref="J34:M34" si="15">J24-0.01</f>
        <v>0.34036584758819743</v>
      </c>
      <c r="K34" s="24">
        <f t="shared" si="15"/>
        <v>0.34036584758819743</v>
      </c>
      <c r="L34" s="24">
        <f t="shared" si="15"/>
        <v>0.34036584758819743</v>
      </c>
      <c r="M34" s="68">
        <f t="shared" si="15"/>
        <v>0.34036584758819743</v>
      </c>
      <c r="N34" s="249" t="s">
        <v>31</v>
      </c>
    </row>
    <row r="35" spans="1:14" s="71" customFormat="1" x14ac:dyDescent="0.2">
      <c r="A35" s="248"/>
      <c r="B35" s="89" t="s">
        <v>21</v>
      </c>
      <c r="C35" s="72">
        <f>'Historical Analysis'!C14</f>
        <v>8.4114395577986056E-2</v>
      </c>
      <c r="D35" s="72">
        <f>'Historical Analysis'!D14</f>
        <v>7.7648226246588931E-2</v>
      </c>
      <c r="E35" s="72">
        <f>'Historical Analysis'!E14</f>
        <v>0.116060814615529</v>
      </c>
      <c r="F35" s="72">
        <f>'Historical Analysis'!F14</f>
        <v>0.12319259687680741</v>
      </c>
      <c r="G35" s="72">
        <f>'Historical Analysis'!G14</f>
        <v>0.11859554828533038</v>
      </c>
      <c r="H35" s="72">
        <f>'Historical Analysis'!H14</f>
        <v>0.10539312524693797</v>
      </c>
      <c r="I35" s="72">
        <f>I25-0.01</f>
        <v>9.4167451141529968E-2</v>
      </c>
      <c r="J35" s="72">
        <f t="shared" ref="J35:M35" si="16">J25-0.01</f>
        <v>9.4167451141529968E-2</v>
      </c>
      <c r="K35" s="72">
        <f t="shared" si="16"/>
        <v>9.4167451141529968E-2</v>
      </c>
      <c r="L35" s="72">
        <f t="shared" si="16"/>
        <v>9.4167451141529968E-2</v>
      </c>
      <c r="M35" s="91">
        <f t="shared" si="16"/>
        <v>9.4167451141529968E-2</v>
      </c>
      <c r="N35" s="249" t="s">
        <v>32</v>
      </c>
    </row>
    <row r="36" spans="1:14" s="71" customFormat="1" x14ac:dyDescent="0.2">
      <c r="A36" s="248"/>
      <c r="B36" s="89" t="s">
        <v>22</v>
      </c>
      <c r="C36" s="72">
        <f>'Historical Analysis'!C29</f>
        <v>5.751822478570856E-2</v>
      </c>
      <c r="D36" s="72">
        <f>'Historical Analysis'!D29</f>
        <v>6.0117423302737123E-2</v>
      </c>
      <c r="E36" s="72">
        <f>'Historical Analysis'!E29</f>
        <v>5.5996996809109682E-2</v>
      </c>
      <c r="F36" s="72">
        <f>'Historical Analysis'!F29</f>
        <v>5.5349913244650085E-2</v>
      </c>
      <c r="G36" s="72">
        <f>'Historical Analysis'!G29</f>
        <v>4.732137640941754E-2</v>
      </c>
      <c r="H36" s="72">
        <f>'Historical Analysis'!H29</f>
        <v>6.0796128012643225E-2</v>
      </c>
      <c r="I36" s="72">
        <f>I26-0.002</f>
        <v>6.418334376071104E-2</v>
      </c>
      <c r="J36" s="72">
        <f t="shared" ref="J36:L36" si="17">J26-0.002</f>
        <v>7.4183343760711035E-2</v>
      </c>
      <c r="K36" s="72">
        <f t="shared" si="17"/>
        <v>8.4183343760711044E-2</v>
      </c>
      <c r="L36" s="72">
        <f t="shared" si="17"/>
        <v>9.4183343760711039E-2</v>
      </c>
      <c r="M36" s="91">
        <f>M26-0.002</f>
        <v>0.10418334376071103</v>
      </c>
      <c r="N36" s="249" t="s">
        <v>33</v>
      </c>
    </row>
    <row r="37" spans="1:14" s="71" customFormat="1" x14ac:dyDescent="0.2">
      <c r="A37" s="248"/>
      <c r="B37" s="89" t="s">
        <v>23</v>
      </c>
      <c r="C37" s="72">
        <f>'Historical Analysis'!C26</f>
        <v>3.1963470319634701E-2</v>
      </c>
      <c r="D37" s="72">
        <f>'Historical Analysis'!D26</f>
        <v>-3.0678905151740675E-2</v>
      </c>
      <c r="E37" s="72">
        <f>'Historical Analysis'!E26</f>
        <v>5.6122129762873049E-2</v>
      </c>
      <c r="F37" s="72">
        <f>'Historical Analysis'!F26</f>
        <v>-2.1341816078658184E-2</v>
      </c>
      <c r="G37" s="72">
        <f>'Historical Analysis'!G26</f>
        <v>6.6016241163755329E-3</v>
      </c>
      <c r="H37" s="72">
        <f>'Historical Analysis'!H26</f>
        <v>1.6495456341367048E-2</v>
      </c>
      <c r="I37" s="72">
        <f>I27+0.005</f>
        <v>1.4860326551641913E-2</v>
      </c>
      <c r="J37" s="72">
        <f t="shared" ref="J37:M37" si="18">J27+0.005</f>
        <v>1.4860326551641913E-2</v>
      </c>
      <c r="K37" s="72">
        <f t="shared" si="18"/>
        <v>1.4860326551641913E-2</v>
      </c>
      <c r="L37" s="72">
        <f t="shared" si="18"/>
        <v>1.4860326551641913E-2</v>
      </c>
      <c r="M37" s="91">
        <f t="shared" si="18"/>
        <v>1.4860326551641913E-2</v>
      </c>
      <c r="N37" s="249" t="s">
        <v>34</v>
      </c>
    </row>
    <row r="38" spans="1:14" s="71" customFormat="1" x14ac:dyDescent="0.2">
      <c r="A38" s="248"/>
      <c r="B38" s="92" t="s">
        <v>24</v>
      </c>
      <c r="C38" s="93">
        <f>'Historical Analysis'!C17</f>
        <v>9.1247672253258846E-2</v>
      </c>
      <c r="D38" s="93">
        <f>'Historical Analysis'!D17</f>
        <v>-0.12704918032786885</v>
      </c>
      <c r="E38" s="93">
        <f>'Historical Analysis'!E17</f>
        <v>0.73486786018755323</v>
      </c>
      <c r="F38" s="93">
        <f>'Historical Analysis'!F17</f>
        <v>-4.8469387755102039E-2</v>
      </c>
      <c r="G38" s="93">
        <f>'Historical Analysis'!G17</f>
        <v>0.11269035532994924</v>
      </c>
      <c r="H38" s="93">
        <f>'Historical Analysis'!H17</f>
        <v>6.690454950936664E-2</v>
      </c>
      <c r="I38" s="93">
        <f>I28-0.02</f>
        <v>0.19</v>
      </c>
      <c r="J38" s="93">
        <f t="shared" ref="J38:M38" si="19">J28-0.02</f>
        <v>0.19</v>
      </c>
      <c r="K38" s="93">
        <f t="shared" si="19"/>
        <v>0.19</v>
      </c>
      <c r="L38" s="93">
        <f t="shared" si="19"/>
        <v>0.19</v>
      </c>
      <c r="M38" s="94">
        <f t="shared" si="19"/>
        <v>0.19</v>
      </c>
      <c r="N38" s="249" t="s">
        <v>35</v>
      </c>
    </row>
    <row r="39" spans="1:14" x14ac:dyDescent="0.2">
      <c r="B39" s="71"/>
      <c r="C39" s="73"/>
      <c r="D39" s="73"/>
      <c r="E39" s="73"/>
      <c r="F39" s="73"/>
      <c r="G39" s="73"/>
      <c r="H39" s="73"/>
      <c r="I39" s="71"/>
      <c r="J39" s="71"/>
      <c r="K39" s="71"/>
      <c r="L39" s="71"/>
      <c r="M39" s="71"/>
      <c r="N39" s="71"/>
    </row>
    <row r="40" spans="1:14" x14ac:dyDescent="0.2">
      <c r="C40" s="22"/>
      <c r="D40" s="22"/>
      <c r="E40" s="22"/>
      <c r="F40" s="22"/>
      <c r="G40" s="22"/>
      <c r="H40" s="22"/>
      <c r="N40" s="71"/>
    </row>
    <row r="41" spans="1:14" x14ac:dyDescent="0.2">
      <c r="B41" s="64" t="s">
        <v>28</v>
      </c>
      <c r="C41" s="86" t="s">
        <v>17</v>
      </c>
      <c r="D41" s="86">
        <v>2017</v>
      </c>
      <c r="E41" s="86">
        <f t="shared" ref="E41:M41" si="20">D41+1</f>
        <v>2018</v>
      </c>
      <c r="F41" s="86">
        <f t="shared" si="20"/>
        <v>2019</v>
      </c>
      <c r="G41" s="86">
        <f t="shared" si="20"/>
        <v>2020</v>
      </c>
      <c r="H41" s="86">
        <f t="shared" si="20"/>
        <v>2021</v>
      </c>
      <c r="I41" s="87">
        <f t="shared" si="20"/>
        <v>2022</v>
      </c>
      <c r="J41" s="87">
        <f t="shared" si="20"/>
        <v>2023</v>
      </c>
      <c r="K41" s="87">
        <f t="shared" si="20"/>
        <v>2024</v>
      </c>
      <c r="L41" s="87">
        <f t="shared" si="20"/>
        <v>2025</v>
      </c>
      <c r="M41" s="88">
        <f t="shared" si="20"/>
        <v>2026</v>
      </c>
      <c r="N41" s="71"/>
    </row>
    <row r="42" spans="1:14" s="71" customFormat="1" x14ac:dyDescent="0.2">
      <c r="A42" s="248"/>
      <c r="B42" s="89"/>
      <c r="M42" s="90"/>
    </row>
    <row r="43" spans="1:14" s="71" customFormat="1" x14ac:dyDescent="0.2">
      <c r="A43" s="248"/>
      <c r="B43" s="89" t="s">
        <v>18</v>
      </c>
      <c r="C43" s="23"/>
      <c r="D43" s="23">
        <f>'Revenue Model'!D29</f>
        <v>-3.1242489786109107E-2</v>
      </c>
      <c r="E43" s="24">
        <f>'Revenue Model'!E29</f>
        <v>0.32167369552633751</v>
      </c>
      <c r="F43" s="24">
        <f>'Revenue Model'!F29</f>
        <v>8.1774385284364648E-2</v>
      </c>
      <c r="G43" s="24">
        <f>'Revenue Model'!G29</f>
        <v>-1.0005783689994163E-2</v>
      </c>
      <c r="H43" s="24">
        <f>'Revenue Model'!H29</f>
        <v>0.18291756733072395</v>
      </c>
      <c r="I43" s="95">
        <f>I22-0.0025</f>
        <v>-1.9710735975576762E-2</v>
      </c>
      <c r="J43" s="95">
        <f t="shared" ref="J43:M43" si="21">J22-0.0025</f>
        <v>2.9244317894239594E-2</v>
      </c>
      <c r="K43" s="95">
        <f t="shared" si="21"/>
        <v>2.9384957978484342E-2</v>
      </c>
      <c r="L43" s="95">
        <f t="shared" si="21"/>
        <v>2.9525073668819683E-2</v>
      </c>
      <c r="M43" s="18">
        <f t="shared" si="21"/>
        <v>2.9664628973596622E-2</v>
      </c>
      <c r="N43" s="249" t="s">
        <v>36</v>
      </c>
    </row>
    <row r="44" spans="1:14" s="71" customFormat="1" x14ac:dyDescent="0.2">
      <c r="A44" s="248"/>
      <c r="B44" s="89" t="s">
        <v>19</v>
      </c>
      <c r="C44" s="24">
        <f>'Historical Analysis'!C8</f>
        <v>0.4359528959384763</v>
      </c>
      <c r="D44" s="24">
        <f>'Historical Analysis'!D8</f>
        <v>0.43099313652526255</v>
      </c>
      <c r="E44" s="24">
        <f>'Historical Analysis'!E8</f>
        <v>0.42914346493148969</v>
      </c>
      <c r="F44" s="24">
        <f>'Historical Analysis'!F8</f>
        <v>0.3974551764025448</v>
      </c>
      <c r="G44" s="24">
        <f>'Historical Analysis'!G8</f>
        <v>0.43874510720336507</v>
      </c>
      <c r="H44" s="24">
        <f>'Historical Analysis'!H8</f>
        <v>0.42661003555906757</v>
      </c>
      <c r="I44" s="24">
        <f>I23+0.03</f>
        <v>0.48648330276003438</v>
      </c>
      <c r="J44" s="24">
        <f t="shared" ref="J44:M44" si="22">J23+0.03</f>
        <v>0.48648330276003438</v>
      </c>
      <c r="K44" s="24">
        <f t="shared" si="22"/>
        <v>0.48648330276003438</v>
      </c>
      <c r="L44" s="24">
        <f t="shared" si="22"/>
        <v>0.48648330276003438</v>
      </c>
      <c r="M44" s="68">
        <f t="shared" si="22"/>
        <v>0.48648330276003438</v>
      </c>
      <c r="N44" s="249" t="s">
        <v>37</v>
      </c>
    </row>
    <row r="45" spans="1:14" s="71" customFormat="1" x14ac:dyDescent="0.2">
      <c r="A45" s="248"/>
      <c r="B45" s="89" t="s">
        <v>20</v>
      </c>
      <c r="C45" s="24">
        <f>'Historical Analysis'!C11</f>
        <v>0.30705759833373386</v>
      </c>
      <c r="D45" s="24">
        <f>'Historical Analysis'!D11</f>
        <v>0.30587943438352766</v>
      </c>
      <c r="E45" s="24">
        <f>'Historical Analysis'!E11</f>
        <v>0.31408371394606771</v>
      </c>
      <c r="F45" s="24">
        <f>'Historical Analysis'!F11</f>
        <v>0.31197223828802778</v>
      </c>
      <c r="G45" s="24">
        <f>'Historical Analysis'!G11</f>
        <v>0.31670269322895367</v>
      </c>
      <c r="H45" s="24">
        <f>'Historical Analysis'!H11</f>
        <v>0.30649940734887399</v>
      </c>
      <c r="I45" s="24">
        <f>I24+0.02</f>
        <v>0.37036584758819746</v>
      </c>
      <c r="J45" s="24">
        <f t="shared" ref="J45:M45" si="23">J24+0.02</f>
        <v>0.37036584758819746</v>
      </c>
      <c r="K45" s="24">
        <f t="shared" si="23"/>
        <v>0.37036584758819746</v>
      </c>
      <c r="L45" s="24">
        <f t="shared" si="23"/>
        <v>0.37036584758819746</v>
      </c>
      <c r="M45" s="68">
        <f t="shared" si="23"/>
        <v>0.37036584758819746</v>
      </c>
      <c r="N45" s="249" t="s">
        <v>38</v>
      </c>
    </row>
    <row r="46" spans="1:14" s="71" customFormat="1" x14ac:dyDescent="0.2">
      <c r="A46" s="248"/>
      <c r="B46" s="89" t="s">
        <v>21</v>
      </c>
      <c r="C46" s="72">
        <f>'Historical Analysis'!C14</f>
        <v>8.4114395577986056E-2</v>
      </c>
      <c r="D46" s="72">
        <f>'Historical Analysis'!D14</f>
        <v>7.7648226246588931E-2</v>
      </c>
      <c r="E46" s="72">
        <f>'Historical Analysis'!E14</f>
        <v>0.116060814615529</v>
      </c>
      <c r="F46" s="72">
        <f>'Historical Analysis'!F14</f>
        <v>0.12319259687680741</v>
      </c>
      <c r="G46" s="72">
        <f>'Historical Analysis'!G14</f>
        <v>0.11859554828533038</v>
      </c>
      <c r="H46" s="72">
        <f>'Historical Analysis'!H14</f>
        <v>0.10539312524693797</v>
      </c>
      <c r="I46" s="72">
        <f>I25+0.01</f>
        <v>0.11416745114152996</v>
      </c>
      <c r="J46" s="72">
        <f t="shared" ref="J46:M46" si="24">J25+0.01</f>
        <v>0.11416745114152996</v>
      </c>
      <c r="K46" s="72">
        <f t="shared" si="24"/>
        <v>0.11416745114152996</v>
      </c>
      <c r="L46" s="72">
        <f t="shared" si="24"/>
        <v>0.11416745114152996</v>
      </c>
      <c r="M46" s="91">
        <f t="shared" si="24"/>
        <v>0.11416745114152996</v>
      </c>
      <c r="N46" s="249" t="s">
        <v>39</v>
      </c>
    </row>
    <row r="47" spans="1:14" s="71" customFormat="1" x14ac:dyDescent="0.2">
      <c r="A47" s="248"/>
      <c r="B47" s="89" t="s">
        <v>22</v>
      </c>
      <c r="C47" s="72">
        <f>'Historical Analysis'!C29</f>
        <v>5.751822478570856E-2</v>
      </c>
      <c r="D47" s="72">
        <f>'Historical Analysis'!D29</f>
        <v>6.0117423302737123E-2</v>
      </c>
      <c r="E47" s="72">
        <f>'Historical Analysis'!E29</f>
        <v>5.5996996809109682E-2</v>
      </c>
      <c r="F47" s="72">
        <f>'Historical Analysis'!F29</f>
        <v>5.5349913244650085E-2</v>
      </c>
      <c r="G47" s="72">
        <f>'Historical Analysis'!G29</f>
        <v>4.732137640941754E-2</v>
      </c>
      <c r="H47" s="72">
        <f>'Historical Analysis'!H29</f>
        <v>6.0796128012643225E-2</v>
      </c>
      <c r="I47" s="72">
        <f>I26+0.02</f>
        <v>8.6183343760711045E-2</v>
      </c>
      <c r="J47" s="72">
        <f t="shared" ref="J47:M47" si="25">J26+0.02</f>
        <v>9.618334376071104E-2</v>
      </c>
      <c r="K47" s="72">
        <f t="shared" si="25"/>
        <v>0.10618334376071105</v>
      </c>
      <c r="L47" s="72">
        <f t="shared" si="25"/>
        <v>0.11618334376071104</v>
      </c>
      <c r="M47" s="91">
        <f t="shared" si="25"/>
        <v>0.12618334376071103</v>
      </c>
      <c r="N47" s="249" t="s">
        <v>40</v>
      </c>
    </row>
    <row r="48" spans="1:14" s="71" customFormat="1" x14ac:dyDescent="0.2">
      <c r="A48" s="248"/>
      <c r="B48" s="89" t="s">
        <v>23</v>
      </c>
      <c r="C48" s="72">
        <f>'Historical Analysis'!C26</f>
        <v>3.1963470319634701E-2</v>
      </c>
      <c r="D48" s="72">
        <f>'Historical Analysis'!D26</f>
        <v>-3.0678905151740675E-2</v>
      </c>
      <c r="E48" s="72">
        <f>'Historical Analysis'!E26</f>
        <v>5.6122129762873049E-2</v>
      </c>
      <c r="F48" s="72">
        <f>'Historical Analysis'!F26</f>
        <v>-2.1341816078658184E-2</v>
      </c>
      <c r="G48" s="72">
        <f>'Historical Analysis'!G26</f>
        <v>6.6016241163755329E-3</v>
      </c>
      <c r="H48" s="72">
        <f>'Historical Analysis'!H26</f>
        <v>1.6495456341367048E-2</v>
      </c>
      <c r="I48" s="72">
        <f>I27-0.005</f>
        <v>4.8603265516419135E-3</v>
      </c>
      <c r="J48" s="72">
        <f t="shared" ref="J48:M48" si="26">J27-0.005</f>
        <v>4.8603265516419135E-3</v>
      </c>
      <c r="K48" s="72">
        <f t="shared" si="26"/>
        <v>4.8603265516419135E-3</v>
      </c>
      <c r="L48" s="72">
        <f t="shared" si="26"/>
        <v>4.8603265516419135E-3</v>
      </c>
      <c r="M48" s="91">
        <f t="shared" si="26"/>
        <v>4.8603265516419135E-3</v>
      </c>
      <c r="N48" s="249" t="s">
        <v>41</v>
      </c>
    </row>
    <row r="49" spans="1:14" s="71" customFormat="1" x14ac:dyDescent="0.2">
      <c r="A49" s="248"/>
      <c r="B49" s="92" t="s">
        <v>24</v>
      </c>
      <c r="C49" s="93">
        <f>'Historical Analysis'!C17</f>
        <v>9.1247672253258846E-2</v>
      </c>
      <c r="D49" s="93">
        <f>'Historical Analysis'!D17</f>
        <v>-0.12704918032786885</v>
      </c>
      <c r="E49" s="93">
        <f>'Historical Analysis'!E17</f>
        <v>0.73486786018755323</v>
      </c>
      <c r="F49" s="93">
        <f>'Historical Analysis'!F17</f>
        <v>-4.8469387755102039E-2</v>
      </c>
      <c r="G49" s="93">
        <f>'Historical Analysis'!G17</f>
        <v>0.11269035532994924</v>
      </c>
      <c r="H49" s="93">
        <f>'Historical Analysis'!H17</f>
        <v>6.690454950936664E-2</v>
      </c>
      <c r="I49" s="93">
        <f>I28+0.01</f>
        <v>0.22</v>
      </c>
      <c r="J49" s="93">
        <f t="shared" ref="J49:M49" si="27">J28+0.01</f>
        <v>0.22</v>
      </c>
      <c r="K49" s="93">
        <f t="shared" si="27"/>
        <v>0.22</v>
      </c>
      <c r="L49" s="93">
        <f t="shared" si="27"/>
        <v>0.22</v>
      </c>
      <c r="M49" s="94">
        <f t="shared" si="27"/>
        <v>0.22</v>
      </c>
      <c r="N49" s="249" t="s">
        <v>42</v>
      </c>
    </row>
    <row r="50" spans="1:14" x14ac:dyDescent="0.2">
      <c r="B50" s="71"/>
      <c r="C50" s="73"/>
      <c r="D50" s="73"/>
      <c r="E50" s="73"/>
      <c r="F50" s="73"/>
      <c r="G50" s="73"/>
      <c r="H50" s="73"/>
      <c r="I50" s="71"/>
      <c r="J50" s="71"/>
      <c r="K50" s="71"/>
      <c r="L50" s="71"/>
      <c r="M50" s="71"/>
      <c r="N50" s="71"/>
    </row>
    <row r="51" spans="1:14" x14ac:dyDescent="0.2">
      <c r="C51" s="71"/>
      <c r="D51" s="71"/>
      <c r="E51" s="71"/>
      <c r="F51" s="71"/>
      <c r="G51" s="71"/>
      <c r="H51" s="71"/>
      <c r="N51" s="71"/>
    </row>
    <row r="52" spans="1:14" x14ac:dyDescent="0.2">
      <c r="C52" s="71"/>
      <c r="D52" s="71"/>
      <c r="E52" s="71"/>
      <c r="F52" s="71"/>
      <c r="G52" s="71"/>
      <c r="H52" s="71"/>
      <c r="N52" s="71"/>
    </row>
    <row r="53" spans="1:14" x14ac:dyDescent="0.2">
      <c r="N53" s="71"/>
    </row>
    <row r="54" spans="1:14" x14ac:dyDescent="0.2">
      <c r="N54" s="71"/>
    </row>
    <row r="55" spans="1:14" x14ac:dyDescent="0.2">
      <c r="N55" s="71"/>
    </row>
    <row r="56" spans="1:14" x14ac:dyDescent="0.2">
      <c r="N56" s="71"/>
    </row>
    <row r="57" spans="1:14" x14ac:dyDescent="0.2">
      <c r="N57" s="71"/>
    </row>
    <row r="58" spans="1:14" x14ac:dyDescent="0.2">
      <c r="N58" s="71"/>
    </row>
    <row r="59" spans="1:14" x14ac:dyDescent="0.2">
      <c r="N59" s="71"/>
    </row>
    <row r="60" spans="1:14" x14ac:dyDescent="0.2">
      <c r="N60" s="71"/>
    </row>
    <row r="61" spans="1:14" x14ac:dyDescent="0.2">
      <c r="N61" s="71"/>
    </row>
    <row r="62" spans="1:14" x14ac:dyDescent="0.2">
      <c r="N62" s="71"/>
    </row>
    <row r="63" spans="1:14" x14ac:dyDescent="0.2">
      <c r="B63" s="249"/>
      <c r="N63" s="71"/>
    </row>
  </sheetData>
  <mergeCells count="1">
    <mergeCell ref="B4:C4"/>
  </mergeCells>
  <hyperlinks>
    <hyperlink ref="N32" location="'Assumptions Explanation'!A10" display="Assumption 9 " xr:uid="{E36BEBD7-4107-DC42-A253-EE21A91F1CC4}"/>
    <hyperlink ref="N33" location="'Assumptions Explanation'!A11" display="Assumption 10" xr:uid="{1C82DDE8-AD3F-FC41-AD36-1209FE910F05}"/>
    <hyperlink ref="N34" location="Inputs!A12" display="Assumption 11" xr:uid="{F8296D41-E5A6-F54E-AEC2-5738C5B5494A}"/>
    <hyperlink ref="N35" location="'Assumptions Explanation'!A13" display="Assumption 12" xr:uid="{7E703780-6CF0-7342-99C3-89EEB3860B5E}"/>
    <hyperlink ref="N36" location="'Assumptions Explanation'!A12" display="Assumption 13" xr:uid="{0E2C4A64-AE47-D44E-B58F-B210DA0FAF11}"/>
    <hyperlink ref="N37" location="'Assumptions Explanation'!A15" display="Assumption 14" xr:uid="{06801207-57D6-3E4F-8672-4D3967A9D16C}"/>
    <hyperlink ref="N38" location="'Assumptions Explanation'!A16" display="Assumptiom 15" xr:uid="{75CF6086-1147-0547-AA42-94C12CA95A9D}"/>
    <hyperlink ref="N43" location="'Assumptions Explanation'!A17" display="Assumption 16" xr:uid="{8F1CB1F2-AC9D-2F4C-BBAE-96B985FE8E15}"/>
    <hyperlink ref="N44" location="'Assumptions Explanation'!A18" display="Assumption 17" xr:uid="{0CAB9D58-D385-8E4A-8EE3-DE2C030A2557}"/>
    <hyperlink ref="N45" location="'Assumptions Explanation'!A19" display="Assumption 18" xr:uid="{1E5CD26C-C96F-DA40-817A-0F51835B2D0D}"/>
    <hyperlink ref="N46" location="'Assumptions Explanation'!A20" display="Assumption 19" xr:uid="{B5522288-8D24-1B40-AED1-D981A2EB4553}"/>
    <hyperlink ref="N47" location="'Assumptions Explanation'!A21" display="Assumption 20" xr:uid="{AAB89C1E-85B5-5440-9500-905D99228A98}"/>
    <hyperlink ref="N48" location="'Assumptions Explanation'!A22" display="Assumption 21" xr:uid="{B40D734A-1162-AB49-B4B0-6F5BC9C8C81D}"/>
    <hyperlink ref="N49" location="'Assumptions Explanation'!A23" display="Assumption 22" xr:uid="{7C8A8B85-524E-874F-92A7-E7679A70D35C}"/>
    <hyperlink ref="N13" location="'Assumptions Explanation'!A3" display="Assumption 2" xr:uid="{06EE4BAF-1FD9-4896-BA7F-0E51406677D0}"/>
    <hyperlink ref="N14" location="'Assumptions Explanation'!A4" display="Assumption 3" xr:uid="{BF8A981E-EACF-47E8-8986-141590D7A73D}"/>
    <hyperlink ref="N15" location="'Assumptions Explanation'!A5" display="Assumption 4" xr:uid="{C1110876-0F49-4506-9C79-EF63688746B5}"/>
    <hyperlink ref="N16" location="Inputs!A9" display="Assumption 8" xr:uid="{49AA7134-7008-45B6-B2B6-CAD5B5DCF2FD}"/>
    <hyperlink ref="N17" location="Inputs!A8" display="Assumption 7" xr:uid="{587472D1-4820-4329-9D86-17ABD4910B06}"/>
    <hyperlink ref="N18" location="Inputs!A7" display="Assumption 6" xr:uid="{9112F3A7-F605-4A48-B7C4-70C3E0B0FD0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56836-2783-FB47-BD25-EA57550BB45E}">
  <sheetPr codeName="Sheet6"/>
  <dimension ref="B2:M31"/>
  <sheetViews>
    <sheetView showGridLines="0" zoomScaleNormal="100" workbookViewId="0">
      <selection activeCell="P19" sqref="P19"/>
    </sheetView>
  </sheetViews>
  <sheetFormatPr baseColWidth="10" defaultColWidth="11" defaultRowHeight="14" x14ac:dyDescent="0.2"/>
  <cols>
    <col min="1" max="1" width="3.83203125" style="9" customWidth="1"/>
    <col min="2" max="2" width="27.5" style="9" customWidth="1"/>
    <col min="3" max="16384" width="11" style="9"/>
  </cols>
  <sheetData>
    <row r="2" spans="2:13" ht="30" x14ac:dyDescent="0.2">
      <c r="B2" s="64" t="s">
        <v>43</v>
      </c>
      <c r="C2" s="86" t="s">
        <v>17</v>
      </c>
      <c r="D2" s="86">
        <v>2017</v>
      </c>
      <c r="E2" s="86">
        <f t="shared" ref="E2:H2" si="0">D2+1</f>
        <v>2018</v>
      </c>
      <c r="F2" s="86">
        <f t="shared" si="0"/>
        <v>2019</v>
      </c>
      <c r="G2" s="86">
        <f t="shared" si="0"/>
        <v>2020</v>
      </c>
      <c r="H2" s="96">
        <f t="shared" si="0"/>
        <v>2021</v>
      </c>
      <c r="J2" s="103" t="s">
        <v>44</v>
      </c>
      <c r="K2" s="104" t="s">
        <v>45</v>
      </c>
      <c r="L2" s="105" t="s">
        <v>46</v>
      </c>
    </row>
    <row r="3" spans="2:13" x14ac:dyDescent="0.2">
      <c r="B3" s="113" t="s">
        <v>47</v>
      </c>
      <c r="C3" s="75"/>
      <c r="D3" s="75"/>
      <c r="E3" s="75"/>
      <c r="F3" s="75"/>
      <c r="G3" s="75"/>
      <c r="H3" s="98"/>
      <c r="J3" s="106"/>
      <c r="K3" s="70"/>
      <c r="L3" s="69"/>
      <c r="M3" s="74"/>
    </row>
    <row r="4" spans="2:13" x14ac:dyDescent="0.2">
      <c r="B4" s="97" t="s">
        <v>48</v>
      </c>
      <c r="C4" s="75"/>
      <c r="D4" s="75"/>
      <c r="E4" s="75"/>
      <c r="F4" s="75"/>
      <c r="G4" s="75"/>
      <c r="H4" s="98"/>
      <c r="J4" s="106"/>
      <c r="K4" s="70"/>
      <c r="L4" s="69"/>
      <c r="M4" s="74"/>
    </row>
    <row r="5" spans="2:13" x14ac:dyDescent="0.2">
      <c r="B5" s="12" t="s">
        <v>49</v>
      </c>
      <c r="C5" s="76">
        <f>'Income Statement'!B11</f>
        <v>12483</v>
      </c>
      <c r="D5" s="76">
        <f>'Income Statement'!C11</f>
        <v>12093</v>
      </c>
      <c r="E5" s="76">
        <f>'Income Statement'!D11</f>
        <v>15983</v>
      </c>
      <c r="F5" s="76">
        <f>'Income Statement'!E11</f>
        <v>17290</v>
      </c>
      <c r="G5" s="76">
        <f>'Income Statement'!F11</f>
        <v>17117</v>
      </c>
      <c r="H5" s="99">
        <f>'Income Statement'!G11</f>
        <v>20248</v>
      </c>
      <c r="J5" s="106"/>
      <c r="K5" s="70"/>
      <c r="L5" s="69">
        <f>CORREL(C5:H5,C5:H5)</f>
        <v>1.0000000000000002</v>
      </c>
      <c r="M5" s="74"/>
    </row>
    <row r="6" spans="2:13" x14ac:dyDescent="0.2">
      <c r="B6" s="100" t="s">
        <v>50</v>
      </c>
      <c r="C6" s="77"/>
      <c r="D6" s="77">
        <f>D5/C5-1</f>
        <v>-3.1242489786109107E-2</v>
      </c>
      <c r="E6" s="77">
        <f t="shared" ref="E6:H6" si="1">E5/D5-1</f>
        <v>0.32167369552633751</v>
      </c>
      <c r="F6" s="77">
        <f t="shared" si="1"/>
        <v>8.1774385284364648E-2</v>
      </c>
      <c r="G6" s="77">
        <f t="shared" si="1"/>
        <v>-1.0005783689994163E-2</v>
      </c>
      <c r="H6" s="101">
        <f t="shared" si="1"/>
        <v>0.18291756733072395</v>
      </c>
      <c r="I6" s="151"/>
      <c r="J6" s="107">
        <f>AVERAGE(C6:H6)</f>
        <v>0.10902347493306457</v>
      </c>
      <c r="K6" s="108">
        <f>_xlfn.STDEV.S(C6:H6)</f>
        <v>0.14600125972340086</v>
      </c>
      <c r="L6" s="109">
        <f>CORREL(D6:H6,D6:H6)</f>
        <v>1</v>
      </c>
    </row>
    <row r="7" spans="2:13" x14ac:dyDescent="0.2">
      <c r="B7" s="12" t="s">
        <v>51</v>
      </c>
      <c r="C7" s="76">
        <f>'Income Statement'!B13</f>
        <v>5442</v>
      </c>
      <c r="D7" s="76">
        <f>'Income Statement'!C13</f>
        <v>5212</v>
      </c>
      <c r="E7" s="76">
        <f>'Income Statement'!D13</f>
        <v>6859</v>
      </c>
      <c r="F7" s="76">
        <f>'Income Statement'!E13</f>
        <v>6872</v>
      </c>
      <c r="G7" s="76">
        <f>'Income Statement'!F13</f>
        <v>7510</v>
      </c>
      <c r="H7" s="99">
        <f>'Income Statement'!G13</f>
        <v>8638</v>
      </c>
      <c r="J7" s="106"/>
      <c r="K7" s="70"/>
      <c r="L7" s="69"/>
      <c r="M7" s="74"/>
    </row>
    <row r="8" spans="2:13" x14ac:dyDescent="0.2">
      <c r="B8" s="100" t="s">
        <v>19</v>
      </c>
      <c r="C8" s="77">
        <f>C7/C5</f>
        <v>0.4359528959384763</v>
      </c>
      <c r="D8" s="77">
        <f t="shared" ref="D8:H8" si="2">D7/D5</f>
        <v>0.43099313652526255</v>
      </c>
      <c r="E8" s="77">
        <f t="shared" si="2"/>
        <v>0.42914346493148969</v>
      </c>
      <c r="F8" s="77">
        <f t="shared" si="2"/>
        <v>0.3974551764025448</v>
      </c>
      <c r="G8" s="77">
        <f t="shared" si="2"/>
        <v>0.43874510720336507</v>
      </c>
      <c r="H8" s="101">
        <f t="shared" si="2"/>
        <v>0.42661003555906757</v>
      </c>
      <c r="I8" s="151"/>
      <c r="J8" s="107">
        <f>AVERAGE(C8:H8)</f>
        <v>0.42648330276003432</v>
      </c>
      <c r="K8" s="108">
        <f>_xlfn.STDEV.S(C8:H8)</f>
        <v>1.4900256961333548E-2</v>
      </c>
      <c r="L8" s="109">
        <f>CORREL(C5:H5,C7:H7)</f>
        <v>0.98216783824759091</v>
      </c>
      <c r="M8" s="249"/>
    </row>
    <row r="9" spans="2:13" x14ac:dyDescent="0.2">
      <c r="B9" s="100" t="s">
        <v>53</v>
      </c>
      <c r="C9" s="77"/>
      <c r="D9" s="77">
        <f>D7/C7-1</f>
        <v>-4.2263873575891231E-2</v>
      </c>
      <c r="E9" s="77">
        <f t="shared" ref="E9:H9" si="3">E7/D7-1</f>
        <v>0.31600153491941674</v>
      </c>
      <c r="F9" s="77">
        <f t="shared" si="3"/>
        <v>1.8953200174953722E-3</v>
      </c>
      <c r="G9" s="77">
        <f t="shared" si="3"/>
        <v>9.2840512223515637E-2</v>
      </c>
      <c r="H9" s="101">
        <f t="shared" si="3"/>
        <v>0.15019973368841555</v>
      </c>
      <c r="I9" s="151"/>
      <c r="J9" s="107">
        <f>AVERAGE(C9:H9)</f>
        <v>0.10373464545459041</v>
      </c>
      <c r="K9" s="108">
        <f>_xlfn.STDEV.S(C9:H9)</f>
        <v>0.14055402403620718</v>
      </c>
      <c r="L9" s="109">
        <f>CORREL(D6:H6,D9:H9)</f>
        <v>0.89082207185648588</v>
      </c>
      <c r="M9" s="74"/>
    </row>
    <row r="10" spans="2:13" x14ac:dyDescent="0.2">
      <c r="B10" s="12" t="s">
        <v>54</v>
      </c>
      <c r="C10" s="76">
        <f>'Income Statement'!B18</f>
        <v>3833</v>
      </c>
      <c r="D10" s="76">
        <f>'Income Statement'!C18</f>
        <v>3699</v>
      </c>
      <c r="E10" s="76">
        <f>'Income Statement'!D18</f>
        <v>5020</v>
      </c>
      <c r="F10" s="76">
        <f>'Income Statement'!E18</f>
        <v>5394</v>
      </c>
      <c r="G10" s="76">
        <f>'Income Statement'!F18</f>
        <v>5421</v>
      </c>
      <c r="H10" s="99">
        <f>'Income Statement'!G18</f>
        <v>6206</v>
      </c>
      <c r="J10" s="106"/>
      <c r="K10" s="70"/>
      <c r="L10" s="69"/>
      <c r="M10" s="74"/>
    </row>
    <row r="11" spans="2:13" x14ac:dyDescent="0.2">
      <c r="B11" s="100" t="s">
        <v>20</v>
      </c>
      <c r="C11" s="77">
        <f>C10/C5</f>
        <v>0.30705759833373386</v>
      </c>
      <c r="D11" s="77">
        <f t="shared" ref="D11:H11" si="4">D10/D5</f>
        <v>0.30587943438352766</v>
      </c>
      <c r="E11" s="77">
        <f t="shared" si="4"/>
        <v>0.31408371394606771</v>
      </c>
      <c r="F11" s="77">
        <f t="shared" si="4"/>
        <v>0.31197223828802778</v>
      </c>
      <c r="G11" s="77">
        <f t="shared" si="4"/>
        <v>0.31670269322895367</v>
      </c>
      <c r="H11" s="101">
        <f t="shared" si="4"/>
        <v>0.30649940734887399</v>
      </c>
      <c r="I11" s="151"/>
      <c r="J11" s="107">
        <f>AVERAGE(C11:H11)</f>
        <v>0.31036584758819746</v>
      </c>
      <c r="K11" s="108">
        <f>_xlfn.STDEV.S(C11:H11)</f>
        <v>4.5294681963164284E-3</v>
      </c>
      <c r="L11" s="109">
        <f>CORREL(C5:H5,C10:H10)</f>
        <v>0.99728693549892233</v>
      </c>
      <c r="M11" s="249"/>
    </row>
    <row r="12" spans="2:13" x14ac:dyDescent="0.2">
      <c r="B12" s="100" t="s">
        <v>56</v>
      </c>
      <c r="C12" s="77"/>
      <c r="D12" s="77">
        <f>D11/C11-1</f>
        <v>-3.8369477146944497E-3</v>
      </c>
      <c r="E12" s="77">
        <f t="shared" ref="E12:H12" si="5">E11/D11-1</f>
        <v>2.682193910510855E-2</v>
      </c>
      <c r="F12" s="77">
        <f t="shared" si="5"/>
        <v>-6.7226524785761743E-3</v>
      </c>
      <c r="G12" s="77">
        <f t="shared" si="5"/>
        <v>1.5163063761328921E-2</v>
      </c>
      <c r="H12" s="101">
        <f t="shared" si="5"/>
        <v>-3.2217237485579031E-2</v>
      </c>
      <c r="I12" s="151"/>
      <c r="J12" s="107">
        <f>AVERAGE(C12:H12)</f>
        <v>-1.5836696248243686E-4</v>
      </c>
      <c r="K12" s="108">
        <f>_xlfn.STDEV.S(C12:H12)</f>
        <v>2.2622312740022028E-2</v>
      </c>
      <c r="L12" s="109">
        <f>CORREL(D12:H12,D6:H6)</f>
        <v>0.16951529145249014</v>
      </c>
      <c r="M12" s="74"/>
    </row>
    <row r="13" spans="2:13" x14ac:dyDescent="0.2">
      <c r="B13" s="12" t="s">
        <v>57</v>
      </c>
      <c r="C13" s="76">
        <f>'Income Statement'!B14</f>
        <v>1050</v>
      </c>
      <c r="D13" s="76">
        <f>'Income Statement'!C14</f>
        <v>939</v>
      </c>
      <c r="E13" s="76">
        <f>'Income Statement'!D14</f>
        <v>1855</v>
      </c>
      <c r="F13" s="76">
        <f>'Income Statement'!E14</f>
        <v>2130</v>
      </c>
      <c r="G13" s="76">
        <f>'Income Statement'!F14</f>
        <v>2030</v>
      </c>
      <c r="H13" s="99">
        <f>'Income Statement'!G14</f>
        <v>2134</v>
      </c>
      <c r="J13" s="106"/>
      <c r="K13" s="70"/>
      <c r="L13" s="69"/>
      <c r="M13" s="74"/>
    </row>
    <row r="14" spans="2:13" x14ac:dyDescent="0.2">
      <c r="B14" s="100" t="s">
        <v>21</v>
      </c>
      <c r="C14" s="78">
        <f>C13/C5</f>
        <v>8.4114395577986056E-2</v>
      </c>
      <c r="D14" s="78">
        <f t="shared" ref="D14:H14" si="6">D13/D5</f>
        <v>7.7648226246588931E-2</v>
      </c>
      <c r="E14" s="78">
        <f t="shared" si="6"/>
        <v>0.116060814615529</v>
      </c>
      <c r="F14" s="78">
        <f t="shared" si="6"/>
        <v>0.12319259687680741</v>
      </c>
      <c r="G14" s="78">
        <f t="shared" si="6"/>
        <v>0.11859554828533038</v>
      </c>
      <c r="H14" s="102">
        <f t="shared" si="6"/>
        <v>0.10539312524693797</v>
      </c>
      <c r="I14" s="151"/>
      <c r="J14" s="107">
        <f>AVERAGE(C14:H14)</f>
        <v>0.10416745114152996</v>
      </c>
      <c r="K14" s="108">
        <f>_xlfn.STDEV.S(C14:H14)</f>
        <v>1.907078842439314E-2</v>
      </c>
      <c r="L14" s="109">
        <f>CORREL(C5:H5,C13:H13)</f>
        <v>0.93762476843554798</v>
      </c>
      <c r="M14" s="249"/>
    </row>
    <row r="15" spans="2:13" x14ac:dyDescent="0.2">
      <c r="B15" s="100" t="s">
        <v>59</v>
      </c>
      <c r="C15" s="78">
        <f>C13/C20</f>
        <v>0.26916175339656501</v>
      </c>
      <c r="D15" s="78">
        <f t="shared" ref="D15:H15" si="7">D13/D20</f>
        <v>0.20245795601552394</v>
      </c>
      <c r="E15" s="78">
        <f t="shared" si="7"/>
        <v>0.34511627906976744</v>
      </c>
      <c r="F15" s="78">
        <f t="shared" si="7"/>
        <v>0.37639158861989752</v>
      </c>
      <c r="G15" s="78">
        <f t="shared" si="7"/>
        <v>0.32013877937233876</v>
      </c>
      <c r="H15" s="102">
        <f t="shared" si="7"/>
        <v>0.31203392308817079</v>
      </c>
      <c r="I15" s="151"/>
      <c r="J15" s="107">
        <f>AVERAGE(C15:H15)</f>
        <v>0.30421671326037725</v>
      </c>
      <c r="K15" s="108">
        <f>_xlfn.STDEV.S(C15:H15)</f>
        <v>6.1286708122389566E-2</v>
      </c>
      <c r="L15" s="109">
        <f>CORREL(C20:H20,C13:H13)</f>
        <v>0.87720661788009435</v>
      </c>
      <c r="M15" s="74"/>
    </row>
    <row r="16" spans="2:13" x14ac:dyDescent="0.2">
      <c r="B16" s="100" t="s">
        <v>60</v>
      </c>
      <c r="C16" s="78"/>
      <c r="D16" s="78">
        <f>D13/C13-1</f>
        <v>-0.10571428571428576</v>
      </c>
      <c r="E16" s="78">
        <f t="shared" ref="E16:H16" si="8">E13/D13-1</f>
        <v>0.97550585729499462</v>
      </c>
      <c r="F16" s="78">
        <f t="shared" si="8"/>
        <v>0.14824797843665771</v>
      </c>
      <c r="G16" s="78">
        <f t="shared" si="8"/>
        <v>-4.6948356807511749E-2</v>
      </c>
      <c r="H16" s="102">
        <f t="shared" si="8"/>
        <v>5.123152709359613E-2</v>
      </c>
      <c r="I16" s="151"/>
      <c r="J16" s="107">
        <f>AVERAGE(C16:H16)</f>
        <v>0.2044645440606902</v>
      </c>
      <c r="K16" s="108">
        <f>_xlfn.STDEV.S(C16:H16)</f>
        <v>0.44174786915643899</v>
      </c>
      <c r="L16" s="109">
        <f>CORREL(D16:H16,D6:H6)</f>
        <v>0.88224410591058633</v>
      </c>
      <c r="M16" s="249"/>
    </row>
    <row r="17" spans="2:13" x14ac:dyDescent="0.2">
      <c r="B17" s="12" t="s">
        <v>24</v>
      </c>
      <c r="C17" s="72">
        <f>'Income Statement'!B42/'Income Statement'!B41</f>
        <v>9.1247672253258846E-2</v>
      </c>
      <c r="D17" s="72">
        <f>'Income Statement'!C42/'Income Statement'!C41</f>
        <v>-0.12704918032786885</v>
      </c>
      <c r="E17" s="72">
        <f>'Income Statement'!D42/'Income Statement'!D41</f>
        <v>0.73486786018755323</v>
      </c>
      <c r="F17" s="72">
        <f>'Income Statement'!E42/'Income Statement'!E41</f>
        <v>-4.8469387755102039E-2</v>
      </c>
      <c r="G17" s="72">
        <f>'Income Statement'!F42/'Income Statement'!F41</f>
        <v>0.11269035532994924</v>
      </c>
      <c r="H17" s="91">
        <f>'Income Statement'!G42/'Income Statement'!G41</f>
        <v>6.690454950936664E-2</v>
      </c>
      <c r="J17" s="106">
        <f>AVERAGE(C17:H17)</f>
        <v>0.1383653115328595</v>
      </c>
      <c r="K17" s="70">
        <f>_xlfn.STDEV.S(C17:H17)</f>
        <v>0.30631789491165518</v>
      </c>
      <c r="L17" s="69">
        <f>CORREL(C5:H5,C17:H17)</f>
        <v>0.12984164233942086</v>
      </c>
      <c r="M17" s="249"/>
    </row>
    <row r="18" spans="2:13" x14ac:dyDescent="0.2">
      <c r="B18" s="12"/>
      <c r="C18" s="79"/>
      <c r="D18" s="79"/>
      <c r="E18" s="79"/>
      <c r="F18" s="79"/>
      <c r="G18" s="79"/>
      <c r="H18" s="112"/>
      <c r="J18" s="106"/>
      <c r="K18" s="118"/>
      <c r="L18" s="119"/>
      <c r="M18" s="74"/>
    </row>
    <row r="19" spans="2:13" x14ac:dyDescent="0.2">
      <c r="B19" s="97" t="s">
        <v>62</v>
      </c>
      <c r="C19" s="79"/>
      <c r="D19" s="79"/>
      <c r="E19" s="79"/>
      <c r="F19" s="79"/>
      <c r="G19" s="79"/>
      <c r="H19" s="112"/>
      <c r="J19" s="106"/>
      <c r="K19" s="118"/>
      <c r="L19" s="119"/>
      <c r="M19" s="74"/>
    </row>
    <row r="20" spans="2:13" x14ac:dyDescent="0.2">
      <c r="B20" s="12" t="s">
        <v>63</v>
      </c>
      <c r="C20" s="76">
        <f>'Balance Sheet'!B26</f>
        <v>3901</v>
      </c>
      <c r="D20" s="76">
        <f>'Balance Sheet'!C26</f>
        <v>4638</v>
      </c>
      <c r="E20" s="76">
        <f>'Balance Sheet'!D26</f>
        <v>5375</v>
      </c>
      <c r="F20" s="76">
        <f>'Balance Sheet'!E26</f>
        <v>5659</v>
      </c>
      <c r="G20" s="76">
        <f>'Balance Sheet'!F26</f>
        <v>6341</v>
      </c>
      <c r="H20" s="99">
        <f>'Balance Sheet'!G26</f>
        <v>6839</v>
      </c>
      <c r="J20" s="106"/>
      <c r="K20" s="118"/>
      <c r="L20" s="119"/>
      <c r="M20" s="74"/>
    </row>
    <row r="21" spans="2:13" x14ac:dyDescent="0.2">
      <c r="B21" s="100" t="s">
        <v>64</v>
      </c>
      <c r="C21" s="78">
        <f>C20/C5</f>
        <v>0.31250500680926058</v>
      </c>
      <c r="D21" s="78">
        <f t="shared" ref="D21:H21" si="9">D20/D5</f>
        <v>0.38352766063011662</v>
      </c>
      <c r="E21" s="78">
        <f t="shared" si="9"/>
        <v>0.33629481323906651</v>
      </c>
      <c r="F21" s="78">
        <f t="shared" si="9"/>
        <v>0.32729901677270096</v>
      </c>
      <c r="G21" s="78">
        <f t="shared" si="9"/>
        <v>0.37045042939767481</v>
      </c>
      <c r="H21" s="102">
        <f t="shared" si="9"/>
        <v>0.33776175424733307</v>
      </c>
      <c r="I21" s="151"/>
      <c r="J21" s="107">
        <f>AVERAGE(C21:H21)</f>
        <v>0.34463978018269209</v>
      </c>
      <c r="K21" s="108">
        <f>_xlfn.STDEV.S(C21:H21)</f>
        <v>2.6939741305561329E-2</v>
      </c>
      <c r="L21" s="109">
        <f>CORREL(C5:H5,C20:H20)</f>
        <v>0.93930204914832283</v>
      </c>
      <c r="M21" s="74"/>
    </row>
    <row r="22" spans="2:13" x14ac:dyDescent="0.2">
      <c r="B22" s="100" t="s">
        <v>65</v>
      </c>
      <c r="C22" s="78"/>
      <c r="D22" s="78">
        <f>D20/C20-1</f>
        <v>0.1889259164316841</v>
      </c>
      <c r="E22" s="78">
        <f t="shared" ref="E22:H22" si="10">E20/D20-1</f>
        <v>0.15890470030185422</v>
      </c>
      <c r="F22" s="78">
        <f t="shared" si="10"/>
        <v>5.2837209302325494E-2</v>
      </c>
      <c r="G22" s="78">
        <f t="shared" si="10"/>
        <v>0.12051599222477472</v>
      </c>
      <c r="H22" s="102">
        <f t="shared" si="10"/>
        <v>7.8536508437154984E-2</v>
      </c>
      <c r="I22" s="151"/>
      <c r="J22" s="107">
        <f>AVERAGE(C22:H22)</f>
        <v>0.1199440653395587</v>
      </c>
      <c r="K22" s="108">
        <f>_xlfn.STDEV.S(C22:H22)</f>
        <v>5.5889779595537821E-2</v>
      </c>
      <c r="L22" s="109">
        <f>CORREL(D22:H22,$D$6:$H$6)</f>
        <v>-8.2416500703172593E-2</v>
      </c>
      <c r="M22" s="74"/>
    </row>
    <row r="23" spans="2:13" x14ac:dyDescent="0.2">
      <c r="B23" s="113"/>
      <c r="C23" s="79"/>
      <c r="D23" s="79"/>
      <c r="E23" s="79"/>
      <c r="F23" s="79"/>
      <c r="G23" s="79"/>
      <c r="H23" s="112"/>
      <c r="J23" s="106"/>
      <c r="K23" s="118"/>
      <c r="L23" s="119"/>
      <c r="M23" s="74"/>
    </row>
    <row r="24" spans="2:13" x14ac:dyDescent="0.2">
      <c r="B24" s="97" t="s">
        <v>66</v>
      </c>
      <c r="C24" s="79"/>
      <c r="D24" s="79"/>
      <c r="E24" s="79"/>
      <c r="F24" s="79"/>
      <c r="G24" s="79"/>
      <c r="H24" s="112"/>
      <c r="J24" s="106"/>
      <c r="K24" s="118"/>
      <c r="L24" s="119"/>
      <c r="M24" s="74"/>
    </row>
    <row r="25" spans="2:13" x14ac:dyDescent="0.2">
      <c r="B25" s="12" t="s">
        <v>67</v>
      </c>
      <c r="C25" s="76">
        <f>'Cash Flow Statement'!B20</f>
        <v>399</v>
      </c>
      <c r="D25" s="76">
        <f>'Cash Flow Statement'!C20</f>
        <v>-371</v>
      </c>
      <c r="E25" s="76">
        <f>'Cash Flow Statement'!D20</f>
        <v>897</v>
      </c>
      <c r="F25" s="76">
        <f>'Cash Flow Statement'!E20</f>
        <v>-369</v>
      </c>
      <c r="G25" s="76">
        <f>'Cash Flow Statement'!F20</f>
        <v>113</v>
      </c>
      <c r="H25" s="99">
        <f>'Cash Flow Statement'!G20</f>
        <v>334</v>
      </c>
      <c r="J25" s="106"/>
      <c r="K25" s="118"/>
      <c r="L25" s="119"/>
      <c r="M25" s="74"/>
    </row>
    <row r="26" spans="2:13" x14ac:dyDescent="0.2">
      <c r="B26" s="100" t="s">
        <v>23</v>
      </c>
      <c r="C26" s="78">
        <f>C25/C5</f>
        <v>3.1963470319634701E-2</v>
      </c>
      <c r="D26" s="78">
        <f t="shared" ref="D26:H26" si="11">D25/D5</f>
        <v>-3.0678905151740675E-2</v>
      </c>
      <c r="E26" s="78">
        <f t="shared" si="11"/>
        <v>5.6122129762873049E-2</v>
      </c>
      <c r="F26" s="78">
        <f t="shared" si="11"/>
        <v>-2.1341816078658184E-2</v>
      </c>
      <c r="G26" s="78">
        <f t="shared" si="11"/>
        <v>6.6016241163755329E-3</v>
      </c>
      <c r="H26" s="102">
        <f t="shared" si="11"/>
        <v>1.6495456341367048E-2</v>
      </c>
      <c r="I26" s="151"/>
      <c r="J26" s="107">
        <f>AVERAGE(C26:H26)</f>
        <v>9.8603265516419136E-3</v>
      </c>
      <c r="K26" s="108">
        <f>_xlfn.STDEV.S(C26:H26)</f>
        <v>3.255871773118061E-2</v>
      </c>
      <c r="L26" s="109">
        <f>CORREL(C5:H5,C25:H25)</f>
        <v>0.16181874776871014</v>
      </c>
      <c r="M26" s="249"/>
    </row>
    <row r="27" spans="2:13" x14ac:dyDescent="0.2">
      <c r="B27" s="100" t="s">
        <v>69</v>
      </c>
      <c r="C27" s="78"/>
      <c r="D27" s="78">
        <f>D25/C25-1</f>
        <v>-1.9298245614035088</v>
      </c>
      <c r="E27" s="78">
        <f t="shared" ref="E27:H27" si="12">E25/D25-1</f>
        <v>-3.417789757412399</v>
      </c>
      <c r="F27" s="78">
        <f t="shared" si="12"/>
        <v>-1.4113712374581939</v>
      </c>
      <c r="G27" s="78">
        <f t="shared" si="12"/>
        <v>-1.3062330623306233</v>
      </c>
      <c r="H27" s="102">
        <f t="shared" si="12"/>
        <v>1.9557522123893807</v>
      </c>
      <c r="I27" s="151"/>
      <c r="J27" s="107">
        <f>AVERAGE(C27:H27)</f>
        <v>-1.2218932812430687</v>
      </c>
      <c r="K27" s="108">
        <f>_xlfn.STDEV.S(C27:H27)</f>
        <v>1.9661875552226991</v>
      </c>
      <c r="L27" s="109">
        <f>CORREL(D27:H27,$D$6:$H$6)</f>
        <v>-0.10245730107154871</v>
      </c>
      <c r="M27" s="74"/>
    </row>
    <row r="28" spans="2:13" x14ac:dyDescent="0.2">
      <c r="B28" s="114" t="s">
        <v>70</v>
      </c>
      <c r="C28" s="76">
        <f>-'Cash Flow Statement'!B26</f>
        <v>718</v>
      </c>
      <c r="D28" s="76">
        <f>-'Cash Flow Statement'!C26</f>
        <v>727</v>
      </c>
      <c r="E28" s="76">
        <f>-'Cash Flow Statement'!D26</f>
        <v>895</v>
      </c>
      <c r="F28" s="76">
        <f>-'Cash Flow Statement'!E26</f>
        <v>957</v>
      </c>
      <c r="G28" s="76">
        <f>-'Cash Flow Statement'!F26</f>
        <v>810</v>
      </c>
      <c r="H28" s="99">
        <f>-'Cash Flow Statement'!G26</f>
        <v>1231</v>
      </c>
      <c r="J28" s="106"/>
      <c r="K28" s="70"/>
      <c r="L28" s="69"/>
      <c r="M28" s="74"/>
    </row>
    <row r="29" spans="2:13" x14ac:dyDescent="0.2">
      <c r="B29" s="100" t="s">
        <v>22</v>
      </c>
      <c r="C29" s="78">
        <f>C28/C5</f>
        <v>5.751822478570856E-2</v>
      </c>
      <c r="D29" s="78">
        <f t="shared" ref="D29:H29" si="13">D28/D5</f>
        <v>6.0117423302737123E-2</v>
      </c>
      <c r="E29" s="78">
        <f t="shared" si="13"/>
        <v>5.5996996809109682E-2</v>
      </c>
      <c r="F29" s="78">
        <f t="shared" si="13"/>
        <v>5.5349913244650085E-2</v>
      </c>
      <c r="G29" s="78">
        <f t="shared" si="13"/>
        <v>4.732137640941754E-2</v>
      </c>
      <c r="H29" s="102">
        <f t="shared" si="13"/>
        <v>6.0796128012643225E-2</v>
      </c>
      <c r="I29" s="151"/>
      <c r="J29" s="107">
        <f>AVERAGE(C29:H29)</f>
        <v>5.6183343760711039E-2</v>
      </c>
      <c r="K29" s="108">
        <f>_xlfn.STDEV.S(C29:H29)</f>
        <v>4.8538740135200221E-3</v>
      </c>
      <c r="L29" s="109">
        <f>CORREL(C5:H5,C28:H28)</f>
        <v>0.90119713439842375</v>
      </c>
      <c r="M29" s="249"/>
    </row>
    <row r="30" spans="2:13" x14ac:dyDescent="0.2">
      <c r="B30" s="100" t="s">
        <v>72</v>
      </c>
      <c r="C30" s="78">
        <f>C28/C20</f>
        <v>0.18405537041784159</v>
      </c>
      <c r="D30" s="78">
        <f t="shared" ref="D30:H30" si="14">D28/D20</f>
        <v>0.15674859853385079</v>
      </c>
      <c r="E30" s="78">
        <f t="shared" si="14"/>
        <v>0.16651162790697674</v>
      </c>
      <c r="F30" s="78">
        <f t="shared" si="14"/>
        <v>0.16911115037992577</v>
      </c>
      <c r="G30" s="78">
        <f t="shared" si="14"/>
        <v>0.12774010408452927</v>
      </c>
      <c r="H30" s="102">
        <f t="shared" si="14"/>
        <v>0.17999707559584735</v>
      </c>
      <c r="I30" s="151"/>
      <c r="J30" s="107">
        <f>AVERAGE(C30:H30)</f>
        <v>0.1640273211531619</v>
      </c>
      <c r="K30" s="108">
        <f>_xlfn.STDEV.S(C30:H30)</f>
        <v>2.0287507680920185E-2</v>
      </c>
      <c r="L30" s="109">
        <f>CORREL(C20:H20,C28:H28)</f>
        <v>0.7880422512570926</v>
      </c>
      <c r="M30" s="74"/>
    </row>
    <row r="31" spans="2:13" x14ac:dyDescent="0.2">
      <c r="B31" s="115" t="s">
        <v>73</v>
      </c>
      <c r="C31" s="116"/>
      <c r="D31" s="116">
        <f>D28/C28-1</f>
        <v>1.2534818941504211E-2</v>
      </c>
      <c r="E31" s="116">
        <f>E28/D28-1</f>
        <v>0.23108665749656132</v>
      </c>
      <c r="F31" s="116">
        <f>F28/E28-1</f>
        <v>6.9273743016759814E-2</v>
      </c>
      <c r="G31" s="116">
        <f t="shared" ref="G31:H31" si="15">G28/F28-1</f>
        <v>-0.15360501567398122</v>
      </c>
      <c r="H31" s="117">
        <f t="shared" si="15"/>
        <v>0.51975308641975304</v>
      </c>
      <c r="J31" s="120">
        <f>AVERAGE(C31:H31)</f>
        <v>0.13580865804011943</v>
      </c>
      <c r="K31" s="121">
        <f>_xlfn.STDEV.S(C31:H31)</f>
        <v>0.25488959870900685</v>
      </c>
      <c r="L31" s="122">
        <f>CORREL(C6:H6,C31:H31)</f>
        <v>0.68646471404782472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FFB6-87BF-F04B-837F-7D0E84D28AE4}">
  <sheetPr codeName="Sheet3"/>
  <dimension ref="A2:Q42"/>
  <sheetViews>
    <sheetView showGridLines="0" zoomScaleNormal="100" workbookViewId="0">
      <selection activeCell="N47" sqref="N47"/>
    </sheetView>
  </sheetViews>
  <sheetFormatPr baseColWidth="10" defaultColWidth="10.83203125" defaultRowHeight="14" x14ac:dyDescent="0.2"/>
  <cols>
    <col min="1" max="1" width="3.83203125" style="25" customWidth="1"/>
    <col min="2" max="2" width="42.83203125" style="25" customWidth="1"/>
    <col min="3" max="16" width="10.83203125" style="25"/>
    <col min="17" max="17" width="10.83203125" style="250"/>
    <col min="18" max="16384" width="10.83203125" style="25"/>
  </cols>
  <sheetData>
    <row r="2" spans="1:17" x14ac:dyDescent="0.2">
      <c r="A2" s="141"/>
      <c r="B2" s="123" t="s">
        <v>74</v>
      </c>
      <c r="C2" s="86" t="s">
        <v>17</v>
      </c>
      <c r="D2" s="86">
        <v>2017</v>
      </c>
      <c r="E2" s="86">
        <f t="shared" ref="E2:M2" si="0">D2+1</f>
        <v>2018</v>
      </c>
      <c r="F2" s="86">
        <f t="shared" si="0"/>
        <v>2019</v>
      </c>
      <c r="G2" s="86">
        <f t="shared" si="0"/>
        <v>2020</v>
      </c>
      <c r="H2" s="86">
        <f t="shared" si="0"/>
        <v>2021</v>
      </c>
      <c r="I2" s="87">
        <f t="shared" si="0"/>
        <v>2022</v>
      </c>
      <c r="J2" s="87">
        <f t="shared" si="0"/>
        <v>2023</v>
      </c>
      <c r="K2" s="87">
        <f t="shared" si="0"/>
        <v>2024</v>
      </c>
      <c r="L2" s="87">
        <f t="shared" si="0"/>
        <v>2025</v>
      </c>
      <c r="M2" s="88">
        <f t="shared" si="0"/>
        <v>2026</v>
      </c>
      <c r="O2" s="250"/>
      <c r="P2" s="250"/>
    </row>
    <row r="3" spans="1:17" x14ac:dyDescent="0.2">
      <c r="B3" s="113" t="s">
        <v>47</v>
      </c>
      <c r="M3" s="125"/>
      <c r="O3" s="250"/>
      <c r="P3" s="250"/>
    </row>
    <row r="4" spans="1:17" x14ac:dyDescent="0.2">
      <c r="B4" s="124" t="s">
        <v>75</v>
      </c>
      <c r="C4" s="25">
        <f>'Segments '!F6</f>
        <v>8654</v>
      </c>
      <c r="D4" s="25">
        <f>'Segments '!G6</f>
        <v>8105</v>
      </c>
      <c r="E4" s="25">
        <f>'Segments '!H6</f>
        <v>8616</v>
      </c>
      <c r="F4" s="25">
        <f>'Segments '!I6</f>
        <v>9064</v>
      </c>
      <c r="G4" s="25">
        <f>'Segments '!J6</f>
        <v>8680</v>
      </c>
      <c r="H4" s="25">
        <f>'Segments '!K6</f>
        <v>9479</v>
      </c>
      <c r="I4" s="25">
        <f>H4*(1+I5)</f>
        <v>8487.5266430449592</v>
      </c>
      <c r="J4" s="25">
        <f t="shared" ref="J4:M4" si="1">I4*(1+J5)</f>
        <v>8638.4259333611335</v>
      </c>
      <c r="K4" s="25">
        <f t="shared" si="1"/>
        <v>8792.0080542327305</v>
      </c>
      <c r="L4" s="25">
        <f t="shared" si="1"/>
        <v>8948.3207035632604</v>
      </c>
      <c r="M4" s="125">
        <f t="shared" si="1"/>
        <v>9107.4124272747522</v>
      </c>
      <c r="O4" s="250"/>
      <c r="P4" s="250"/>
    </row>
    <row r="5" spans="1:17" s="26" customFormat="1" x14ac:dyDescent="0.2">
      <c r="B5" s="113" t="s">
        <v>76</v>
      </c>
      <c r="C5" s="108"/>
      <c r="D5" s="108">
        <f>D4/C4-1</f>
        <v>-6.3438872197827623E-2</v>
      </c>
      <c r="E5" s="108">
        <f>E4/D4-1</f>
        <v>6.30475015422578E-2</v>
      </c>
      <c r="F5" s="108">
        <f>F4/E4-1</f>
        <v>5.1996285979572843E-2</v>
      </c>
      <c r="G5" s="108">
        <f t="shared" ref="G5:H5" si="2">G4/F4-1</f>
        <v>-4.2365401588702611E-2</v>
      </c>
      <c r="H5" s="108">
        <f t="shared" si="2"/>
        <v>9.2050691244239591E-2</v>
      </c>
      <c r="I5" s="108">
        <f>((9479-1160)*(1+J20))/H4-1</f>
        <v>-0.10459683056810221</v>
      </c>
      <c r="J5" s="108">
        <f>$J$20*(9479-1160)/9479</f>
        <v>1.7778947467555508E-2</v>
      </c>
      <c r="K5" s="108">
        <f t="shared" ref="K5:M5" si="3">$J$20*(9479-1160)/9479</f>
        <v>1.7778947467555508E-2</v>
      </c>
      <c r="L5" s="108">
        <f t="shared" si="3"/>
        <v>1.7778947467555508E-2</v>
      </c>
      <c r="M5" s="109">
        <f t="shared" si="3"/>
        <v>1.7778947467555508E-2</v>
      </c>
      <c r="N5" s="251" t="s">
        <v>77</v>
      </c>
      <c r="O5" s="250"/>
      <c r="P5" s="250"/>
      <c r="Q5" s="250"/>
    </row>
    <row r="6" spans="1:17" s="26" customFormat="1" x14ac:dyDescent="0.2">
      <c r="B6" s="126" t="s">
        <v>78</v>
      </c>
      <c r="C6" s="108"/>
      <c r="D6" s="108">
        <f>D4/D13</f>
        <v>0.67022244273546683</v>
      </c>
      <c r="E6" s="108">
        <f t="shared" ref="E6:M6" si="4">E4/E13</f>
        <v>0.53907276481261335</v>
      </c>
      <c r="F6" s="108">
        <f t="shared" si="4"/>
        <v>0.5242336610757663</v>
      </c>
      <c r="G6" s="108">
        <f t="shared" si="4"/>
        <v>0.50709820646141268</v>
      </c>
      <c r="H6" s="108">
        <f t="shared" si="4"/>
        <v>0.46814500197550374</v>
      </c>
      <c r="I6" s="108">
        <f>I4/I13</f>
        <v>0.42651922835021033</v>
      </c>
      <c r="J6" s="108">
        <f t="shared" si="4"/>
        <v>0.4207459966350397</v>
      </c>
      <c r="K6" s="108">
        <f t="shared" si="4"/>
        <v>0.4149943404983012</v>
      </c>
      <c r="L6" s="108">
        <f t="shared" si="4"/>
        <v>0.40926573767808877</v>
      </c>
      <c r="M6" s="109">
        <f t="shared" si="4"/>
        <v>0.40356164126914035</v>
      </c>
      <c r="N6" s="25"/>
      <c r="O6" s="250"/>
      <c r="P6" s="250"/>
      <c r="Q6" s="250"/>
    </row>
    <row r="7" spans="1:17" x14ac:dyDescent="0.2">
      <c r="B7" s="124" t="s">
        <v>79</v>
      </c>
      <c r="C7" s="25">
        <f>'Segments '!F7</f>
        <v>3829</v>
      </c>
      <c r="D7" s="25">
        <f>'Segments '!G7</f>
        <v>3988</v>
      </c>
      <c r="E7" s="25">
        <f>'Segments '!H7</f>
        <v>4330</v>
      </c>
      <c r="F7" s="25">
        <f>'Segments '!I7</f>
        <v>4300</v>
      </c>
      <c r="G7" s="25">
        <f>'Segments '!J7</f>
        <v>4675</v>
      </c>
      <c r="H7" s="25">
        <f>'Segments '!K7</f>
        <v>6530</v>
      </c>
      <c r="I7" s="25">
        <f>H7*(1+I8)</f>
        <v>6992.7873869893137</v>
      </c>
      <c r="J7" s="25">
        <f t="shared" ref="J7:M7" si="5">I7*(1+J8)</f>
        <v>7285.721142188685</v>
      </c>
      <c r="K7" s="25">
        <f t="shared" si="5"/>
        <v>7590.9261391957034</v>
      </c>
      <c r="L7" s="25">
        <f t="shared" si="5"/>
        <v>7908.9164306684479</v>
      </c>
      <c r="M7" s="125">
        <f t="shared" si="5"/>
        <v>8240.2276033639464</v>
      </c>
      <c r="O7" s="250"/>
      <c r="P7" s="250"/>
    </row>
    <row r="8" spans="1:17" s="26" customFormat="1" x14ac:dyDescent="0.2">
      <c r="B8" s="113" t="s">
        <v>76</v>
      </c>
      <c r="C8" s="108"/>
      <c r="D8" s="108">
        <f>D7/C7-1</f>
        <v>4.1525202402716177E-2</v>
      </c>
      <c r="E8" s="108">
        <f>E7/D7-1</f>
        <v>8.5757271815446234E-2</v>
      </c>
      <c r="F8" s="108">
        <f>F7/E7-1</f>
        <v>-6.9284064665127154E-3</v>
      </c>
      <c r="G8" s="108">
        <f t="shared" ref="G8" si="6">G7/F7-1</f>
        <v>8.7209302325581328E-2</v>
      </c>
      <c r="H8" s="108">
        <f t="shared" ref="H8" si="7">H7/G7-1</f>
        <v>0.39679144385026732</v>
      </c>
      <c r="I8" s="108">
        <f>J23-0.05</f>
        <v>7.0870962785499661E-2</v>
      </c>
      <c r="J8" s="108">
        <f>AVERAGE($D$8:$G$8)-0.01</f>
        <v>4.1890842519307754E-2</v>
      </c>
      <c r="K8" s="108">
        <f t="shared" ref="K8:M8" si="8">AVERAGE($D$8:$G$8)-0.01</f>
        <v>4.1890842519307754E-2</v>
      </c>
      <c r="L8" s="108">
        <f t="shared" si="8"/>
        <v>4.1890842519307754E-2</v>
      </c>
      <c r="M8" s="109">
        <f t="shared" si="8"/>
        <v>4.1890842519307754E-2</v>
      </c>
      <c r="N8" s="251" t="s">
        <v>80</v>
      </c>
      <c r="O8" s="250"/>
      <c r="P8" s="250"/>
      <c r="Q8" s="250"/>
    </row>
    <row r="9" spans="1:17" s="26" customFormat="1" x14ac:dyDescent="0.2">
      <c r="B9" s="126" t="s">
        <v>78</v>
      </c>
      <c r="C9" s="108"/>
      <c r="D9" s="108">
        <f>D7/D13</f>
        <v>0.32977755726453323</v>
      </c>
      <c r="E9" s="108">
        <f t="shared" ref="E9:M9" si="9">E7/E13</f>
        <v>0.27091284489770379</v>
      </c>
      <c r="F9" s="108">
        <f t="shared" si="9"/>
        <v>0.24869866975130134</v>
      </c>
      <c r="G9" s="108">
        <f t="shared" si="9"/>
        <v>0.2731202897704037</v>
      </c>
      <c r="H9" s="108">
        <f t="shared" si="9"/>
        <v>0.32250098775187674</v>
      </c>
      <c r="I9" s="108">
        <f t="shared" si="9"/>
        <v>0.35140487986094288</v>
      </c>
      <c r="J9" s="108">
        <f t="shared" si="9"/>
        <v>0.35486071499862054</v>
      </c>
      <c r="K9" s="108">
        <f t="shared" si="9"/>
        <v>0.35830169484322094</v>
      </c>
      <c r="L9" s="108">
        <f t="shared" si="9"/>
        <v>0.3617269233480816</v>
      </c>
      <c r="M9" s="109">
        <f t="shared" si="9"/>
        <v>0.36513552039060493</v>
      </c>
      <c r="N9" s="25"/>
      <c r="O9" s="250"/>
      <c r="P9" s="250"/>
      <c r="Q9" s="250"/>
    </row>
    <row r="10" spans="1:17" x14ac:dyDescent="0.2">
      <c r="B10" s="124" t="s">
        <v>81</v>
      </c>
      <c r="C10" s="25">
        <v>0</v>
      </c>
      <c r="D10" s="25">
        <v>0</v>
      </c>
      <c r="E10" s="25">
        <f>'Segments '!H8</f>
        <v>3037</v>
      </c>
      <c r="F10" s="25">
        <f>'Segments '!I8</f>
        <v>3926</v>
      </c>
      <c r="G10" s="25">
        <f>'Segments '!J8</f>
        <v>3762</v>
      </c>
      <c r="H10" s="25">
        <f>'Segments '!K8</f>
        <v>4239</v>
      </c>
      <c r="I10" s="25">
        <f>H10*(1+I11)</f>
        <v>4419.2029879322499</v>
      </c>
      <c r="J10" s="25">
        <f t="shared" ref="J10:L10" si="10">I10*(1+J11)</f>
        <v>4607.0665365768637</v>
      </c>
      <c r="K10" s="25">
        <f t="shared" si="10"/>
        <v>4802.9163019681901</v>
      </c>
      <c r="L10" s="25">
        <f t="shared" si="10"/>
        <v>5007.091784016593</v>
      </c>
      <c r="M10" s="125">
        <f>L10*(1+M11)</f>
        <v>5219.9469150217374</v>
      </c>
      <c r="O10" s="250"/>
      <c r="P10" s="250"/>
    </row>
    <row r="11" spans="1:17" s="26" customFormat="1" x14ac:dyDescent="0.2">
      <c r="B11" s="113" t="s">
        <v>76</v>
      </c>
      <c r="C11" s="127"/>
      <c r="D11" s="127" t="s">
        <v>82</v>
      </c>
      <c r="E11" s="127" t="s">
        <v>82</v>
      </c>
      <c r="F11" s="108">
        <f>F10/E10-1</f>
        <v>0.2927230819888047</v>
      </c>
      <c r="G11" s="108">
        <f>G10/F10-1</f>
        <v>-4.1772796739684148E-2</v>
      </c>
      <c r="H11" s="108">
        <f>H10/G10-1</f>
        <v>0.12679425837320579</v>
      </c>
      <c r="I11" s="108">
        <f>AVERAGE($G$11:$H$11)</f>
        <v>4.2510730816760822E-2</v>
      </c>
      <c r="J11" s="108">
        <f t="shared" ref="J11:M11" si="11">AVERAGE($G$11:$H$11)</f>
        <v>4.2510730816760822E-2</v>
      </c>
      <c r="K11" s="108">
        <f t="shared" si="11"/>
        <v>4.2510730816760822E-2</v>
      </c>
      <c r="L11" s="108">
        <f t="shared" si="11"/>
        <v>4.2510730816760822E-2</v>
      </c>
      <c r="M11" s="109">
        <f t="shared" si="11"/>
        <v>4.2510730816760822E-2</v>
      </c>
      <c r="N11" s="251" t="s">
        <v>83</v>
      </c>
      <c r="O11" s="250"/>
      <c r="P11" s="250"/>
      <c r="Q11" s="250"/>
    </row>
    <row r="12" spans="1:17" s="26" customFormat="1" x14ac:dyDescent="0.2">
      <c r="B12" s="126" t="s">
        <v>78</v>
      </c>
      <c r="C12" s="121"/>
      <c r="D12" s="131" t="s">
        <v>82</v>
      </c>
      <c r="E12" s="121">
        <f>E10/E13</f>
        <v>0.19001439028968278</v>
      </c>
      <c r="F12" s="121">
        <f t="shared" ref="F12:M12" si="12">F10/F13</f>
        <v>0.22706766917293233</v>
      </c>
      <c r="G12" s="121">
        <f t="shared" si="12"/>
        <v>0.21978150376818367</v>
      </c>
      <c r="H12" s="121">
        <f t="shared" si="12"/>
        <v>0.20935401027261952</v>
      </c>
      <c r="I12" s="121">
        <f t="shared" si="12"/>
        <v>0.22207589178884687</v>
      </c>
      <c r="J12" s="121">
        <f t="shared" si="12"/>
        <v>0.22439328836633982</v>
      </c>
      <c r="K12" s="121">
        <f t="shared" si="12"/>
        <v>0.22670396465847775</v>
      </c>
      <c r="L12" s="121">
        <f t="shared" si="12"/>
        <v>0.22900733897382955</v>
      </c>
      <c r="M12" s="122">
        <f t="shared" si="12"/>
        <v>0.23130283834025464</v>
      </c>
      <c r="O12" s="250"/>
      <c r="P12" s="250"/>
      <c r="Q12" s="250"/>
    </row>
    <row r="13" spans="1:17" x14ac:dyDescent="0.2">
      <c r="B13" s="142" t="s">
        <v>84</v>
      </c>
      <c r="C13" s="140">
        <f>C4+C7+C10</f>
        <v>12483</v>
      </c>
      <c r="D13" s="140">
        <f>D4+D7+D10</f>
        <v>12093</v>
      </c>
      <c r="E13" s="140">
        <f>E4+E7+E10</f>
        <v>15983</v>
      </c>
      <c r="F13" s="140">
        <f t="shared" ref="F13:H13" si="13">F4+F7+F10</f>
        <v>17290</v>
      </c>
      <c r="G13" s="140">
        <f t="shared" si="13"/>
        <v>17117</v>
      </c>
      <c r="H13" s="140">
        <f t="shared" si="13"/>
        <v>20248</v>
      </c>
      <c r="I13" s="140">
        <f>I4+I7+I10</f>
        <v>19899.517017966522</v>
      </c>
      <c r="J13" s="140">
        <f t="shared" ref="J13:M13" si="14">J4+J7+J10</f>
        <v>20531.213612126681</v>
      </c>
      <c r="K13" s="140">
        <f t="shared" si="14"/>
        <v>21185.850495396626</v>
      </c>
      <c r="L13" s="140">
        <f t="shared" si="14"/>
        <v>21864.328918248302</v>
      </c>
      <c r="M13" s="143">
        <f t="shared" si="14"/>
        <v>22567.586945660438</v>
      </c>
      <c r="O13" s="250"/>
      <c r="P13" s="250"/>
    </row>
    <row r="14" spans="1:17" s="26" customFormat="1" x14ac:dyDescent="0.2">
      <c r="B14" s="128" t="s">
        <v>76</v>
      </c>
      <c r="C14" s="129"/>
      <c r="D14" s="121">
        <f>D13/C13-1</f>
        <v>-3.1242489786109107E-2</v>
      </c>
      <c r="E14" s="121">
        <f>E13/D13-1</f>
        <v>0.32167369552633751</v>
      </c>
      <c r="F14" s="121">
        <f>F13/E13-1</f>
        <v>8.1774385284364648E-2</v>
      </c>
      <c r="G14" s="121">
        <f t="shared" ref="G14" si="15">G13/F13-1</f>
        <v>-1.0005783689994163E-2</v>
      </c>
      <c r="H14" s="121">
        <f t="shared" ref="H14" si="16">H13/G13-1</f>
        <v>0.18291756733072395</v>
      </c>
      <c r="I14" s="121">
        <f>I13/H13-1</f>
        <v>-1.7210735975576763E-2</v>
      </c>
      <c r="J14" s="121">
        <f>J13/I13-1</f>
        <v>3.1744317894239593E-2</v>
      </c>
      <c r="K14" s="121">
        <f t="shared" ref="K14:M14" si="17">K13/J13-1</f>
        <v>3.1884957978484341E-2</v>
      </c>
      <c r="L14" s="121">
        <f t="shared" si="17"/>
        <v>3.2025073668819681E-2</v>
      </c>
      <c r="M14" s="122">
        <f t="shared" si="17"/>
        <v>3.2164628973596621E-2</v>
      </c>
      <c r="N14" s="251" t="s">
        <v>85</v>
      </c>
      <c r="O14" s="250"/>
      <c r="P14" s="250"/>
      <c r="Q14" s="250"/>
    </row>
    <row r="15" spans="1:17" x14ac:dyDescent="0.2">
      <c r="O15" s="250"/>
      <c r="P15" s="250"/>
    </row>
    <row r="16" spans="1:17" x14ac:dyDescent="0.2">
      <c r="B16" s="151"/>
      <c r="O16" s="250"/>
      <c r="P16" s="250"/>
    </row>
    <row r="17" spans="1:17" ht="30" x14ac:dyDescent="0.2">
      <c r="A17" s="141"/>
      <c r="B17" s="123" t="s">
        <v>43</v>
      </c>
      <c r="C17" s="86" t="s">
        <v>17</v>
      </c>
      <c r="D17" s="86">
        <v>2017</v>
      </c>
      <c r="E17" s="86">
        <f t="shared" ref="E17" si="18">D17+1</f>
        <v>2018</v>
      </c>
      <c r="F17" s="86">
        <f t="shared" ref="F17" si="19">E17+1</f>
        <v>2019</v>
      </c>
      <c r="G17" s="86">
        <f t="shared" ref="G17" si="20">F17+1</f>
        <v>2020</v>
      </c>
      <c r="H17" s="96">
        <f t="shared" ref="H17" si="21">G17+1</f>
        <v>2021</v>
      </c>
      <c r="J17" s="130" t="s">
        <v>44</v>
      </c>
      <c r="K17" s="105" t="s">
        <v>45</v>
      </c>
      <c r="L17" s="250"/>
      <c r="Q17" s="25"/>
    </row>
    <row r="18" spans="1:17" x14ac:dyDescent="0.2">
      <c r="B18" s="113" t="s">
        <v>47</v>
      </c>
      <c r="H18" s="125"/>
      <c r="J18" s="106"/>
      <c r="K18" s="69"/>
      <c r="L18" s="250"/>
      <c r="Q18" s="25"/>
    </row>
    <row r="19" spans="1:17" x14ac:dyDescent="0.2">
      <c r="B19" s="124" t="s">
        <v>75</v>
      </c>
      <c r="C19" s="25">
        <f>'Segments '!$F$6</f>
        <v>8654</v>
      </c>
      <c r="D19" s="25">
        <f>'Segments '!$G$6</f>
        <v>8105</v>
      </c>
      <c r="E19" s="25">
        <f>'Segments '!$H$6</f>
        <v>8616</v>
      </c>
      <c r="F19" s="25">
        <f>'Segments '!$I$6</f>
        <v>9064</v>
      </c>
      <c r="G19" s="25">
        <f>'Segments '!$J$6</f>
        <v>8680</v>
      </c>
      <c r="H19" s="125">
        <f>'Segments '!$K$6</f>
        <v>9479</v>
      </c>
      <c r="J19" s="106"/>
      <c r="K19" s="69"/>
      <c r="L19" s="250"/>
      <c r="Q19" s="25"/>
    </row>
    <row r="20" spans="1:17" x14ac:dyDescent="0.2">
      <c r="B20" s="113" t="s">
        <v>76</v>
      </c>
      <c r="C20" s="108"/>
      <c r="D20" s="108">
        <f>D19/C19-1</f>
        <v>-6.3438872197827623E-2</v>
      </c>
      <c r="E20" s="108">
        <f>E19/D19-1</f>
        <v>6.30475015422578E-2</v>
      </c>
      <c r="F20" s="108">
        <f>F19/E19-1</f>
        <v>5.1996285979572843E-2</v>
      </c>
      <c r="G20" s="108">
        <f t="shared" ref="G20" si="22">G19/F19-1</f>
        <v>-4.2365401588702611E-2</v>
      </c>
      <c r="H20" s="109">
        <f t="shared" ref="H20" si="23">H19/G19-1</f>
        <v>9.2050691244239591E-2</v>
      </c>
      <c r="J20" s="106">
        <f>AVERAGE(C20:H20)</f>
        <v>2.0258040995908E-2</v>
      </c>
      <c r="K20" s="69">
        <f>_xlfn.STDEV.S(C20:H20)</f>
        <v>6.877373698854411E-2</v>
      </c>
      <c r="L20" s="250"/>
      <c r="Q20" s="25"/>
    </row>
    <row r="21" spans="1:17" x14ac:dyDescent="0.2">
      <c r="B21" s="126" t="s">
        <v>78</v>
      </c>
      <c r="C21" s="108"/>
      <c r="D21" s="108">
        <f>D19/D28</f>
        <v>0.67022244273546683</v>
      </c>
      <c r="E21" s="108">
        <f t="shared" ref="E21:H21" si="24">E19/E28</f>
        <v>0.53907276481261335</v>
      </c>
      <c r="F21" s="108">
        <f t="shared" si="24"/>
        <v>0.5242336610757663</v>
      </c>
      <c r="G21" s="108">
        <f t="shared" si="24"/>
        <v>0.50709820646141268</v>
      </c>
      <c r="H21" s="109">
        <f t="shared" si="24"/>
        <v>0.46814500197550374</v>
      </c>
      <c r="J21" s="106"/>
      <c r="K21" s="69"/>
      <c r="L21" s="250"/>
      <c r="Q21" s="25"/>
    </row>
    <row r="22" spans="1:17" x14ac:dyDescent="0.2">
      <c r="B22" s="124" t="s">
        <v>79</v>
      </c>
      <c r="C22" s="25">
        <f>'Segments '!$F$7</f>
        <v>3829</v>
      </c>
      <c r="D22" s="25">
        <f>'Segments '!$G$7</f>
        <v>3988</v>
      </c>
      <c r="E22" s="25">
        <f>'Segments '!$H$7</f>
        <v>4330</v>
      </c>
      <c r="F22" s="25">
        <f>'Segments '!$I$7</f>
        <v>4300</v>
      </c>
      <c r="G22" s="25">
        <f>'Segments '!$J$7</f>
        <v>4675</v>
      </c>
      <c r="H22" s="125">
        <f>'Segments '!$K$7</f>
        <v>6530</v>
      </c>
      <c r="J22" s="106"/>
      <c r="K22" s="69"/>
      <c r="L22" s="250"/>
      <c r="Q22" s="25"/>
    </row>
    <row r="23" spans="1:17" x14ac:dyDescent="0.2">
      <c r="B23" s="113" t="s">
        <v>76</v>
      </c>
      <c r="C23" s="108"/>
      <c r="D23" s="108">
        <f>D22/C22-1</f>
        <v>4.1525202402716177E-2</v>
      </c>
      <c r="E23" s="108">
        <f>E22/D22-1</f>
        <v>8.5757271815446234E-2</v>
      </c>
      <c r="F23" s="108">
        <f>F22/E22-1</f>
        <v>-6.9284064665127154E-3</v>
      </c>
      <c r="G23" s="108">
        <f t="shared" ref="G23" si="25">G22/F22-1</f>
        <v>8.7209302325581328E-2</v>
      </c>
      <c r="H23" s="109">
        <f t="shared" ref="H23" si="26">H22/G22-1</f>
        <v>0.39679144385026732</v>
      </c>
      <c r="J23" s="106">
        <f t="shared" ref="J23" si="27">AVERAGE(C23:H23)</f>
        <v>0.12087096278549966</v>
      </c>
      <c r="K23" s="69">
        <f>_xlfn.STDEV.S(C23:H23)</f>
        <v>0.15900205896576178</v>
      </c>
      <c r="L23" s="250"/>
      <c r="Q23" s="25"/>
    </row>
    <row r="24" spans="1:17" x14ac:dyDescent="0.2">
      <c r="B24" s="126" t="s">
        <v>78</v>
      </c>
      <c r="C24" s="108"/>
      <c r="D24" s="108">
        <f>D22/D28</f>
        <v>0.32977755726453323</v>
      </c>
      <c r="E24" s="108">
        <f t="shared" ref="E24:H24" si="28">E22/E28</f>
        <v>0.27091284489770379</v>
      </c>
      <c r="F24" s="108">
        <f t="shared" si="28"/>
        <v>0.24869866975130134</v>
      </c>
      <c r="G24" s="108">
        <f t="shared" si="28"/>
        <v>0.2731202897704037</v>
      </c>
      <c r="H24" s="109">
        <f t="shared" si="28"/>
        <v>0.32250098775187674</v>
      </c>
      <c r="J24" s="106"/>
      <c r="K24" s="69"/>
      <c r="L24" s="250"/>
      <c r="Q24" s="25"/>
    </row>
    <row r="25" spans="1:17" x14ac:dyDescent="0.2">
      <c r="B25" s="124" t="s">
        <v>81</v>
      </c>
      <c r="C25" s="25">
        <v>0</v>
      </c>
      <c r="D25" s="25">
        <v>0</v>
      </c>
      <c r="E25" s="25">
        <f>'Segments '!$H$8</f>
        <v>3037</v>
      </c>
      <c r="F25" s="25">
        <f>'Segments '!$I$8</f>
        <v>3926</v>
      </c>
      <c r="G25" s="25">
        <f>'Segments '!$J$8</f>
        <v>3762</v>
      </c>
      <c r="H25" s="125">
        <f>'Segments '!$K$8</f>
        <v>4239</v>
      </c>
      <c r="J25" s="106"/>
      <c r="K25" s="69"/>
      <c r="L25" s="250"/>
      <c r="Q25" s="25"/>
    </row>
    <row r="26" spans="1:17" x14ac:dyDescent="0.2">
      <c r="B26" s="113" t="s">
        <v>76</v>
      </c>
      <c r="C26" s="127"/>
      <c r="D26" s="127"/>
      <c r="E26" s="127"/>
      <c r="F26" s="108">
        <f>F25/E25-1</f>
        <v>0.2927230819888047</v>
      </c>
      <c r="G26" s="108">
        <f>G25/F25-1</f>
        <v>-4.1772796739684148E-2</v>
      </c>
      <c r="H26" s="109">
        <f>H25/G25-1</f>
        <v>0.12679425837320579</v>
      </c>
      <c r="J26" s="106">
        <f>AVERAGE(C26:H26)</f>
        <v>0.12591484787410878</v>
      </c>
      <c r="K26" s="69">
        <f>_xlfn.STDEV.S(C26:H26)</f>
        <v>0.16724967337398725</v>
      </c>
      <c r="L26" s="250"/>
      <c r="Q26" s="25"/>
    </row>
    <row r="27" spans="1:17" x14ac:dyDescent="0.2">
      <c r="B27" s="126" t="s">
        <v>78</v>
      </c>
      <c r="C27" s="121"/>
      <c r="D27" s="131"/>
      <c r="E27" s="121">
        <f>E25/E28</f>
        <v>0.19001439028968278</v>
      </c>
      <c r="F27" s="121">
        <f t="shared" ref="F27:H27" si="29">F25/F28</f>
        <v>0.22706766917293233</v>
      </c>
      <c r="G27" s="121">
        <f t="shared" si="29"/>
        <v>0.21978150376818367</v>
      </c>
      <c r="H27" s="122">
        <f t="shared" si="29"/>
        <v>0.20935401027261952</v>
      </c>
      <c r="J27" s="106"/>
      <c r="K27" s="69"/>
      <c r="L27" s="250"/>
      <c r="Q27" s="25"/>
    </row>
    <row r="28" spans="1:17" x14ac:dyDescent="0.2">
      <c r="B28" s="124"/>
      <c r="C28" s="25">
        <f>C19+C22+C25</f>
        <v>12483</v>
      </c>
      <c r="D28" s="25">
        <f>D19+D22+D25</f>
        <v>12093</v>
      </c>
      <c r="E28" s="25">
        <f>E19+E22+E25</f>
        <v>15983</v>
      </c>
      <c r="F28" s="25">
        <f t="shared" ref="F28:H28" si="30">F19+F22+F25</f>
        <v>17290</v>
      </c>
      <c r="G28" s="25">
        <f t="shared" si="30"/>
        <v>17117</v>
      </c>
      <c r="H28" s="125">
        <f t="shared" si="30"/>
        <v>20248</v>
      </c>
      <c r="J28" s="124"/>
      <c r="K28" s="125"/>
      <c r="L28" s="250"/>
      <c r="Q28" s="25"/>
    </row>
    <row r="29" spans="1:17" x14ac:dyDescent="0.2">
      <c r="B29" s="128" t="s">
        <v>76</v>
      </c>
      <c r="C29" s="129"/>
      <c r="D29" s="121">
        <f>D28/C28-1</f>
        <v>-3.1242489786109107E-2</v>
      </c>
      <c r="E29" s="121">
        <f>E28/D28-1</f>
        <v>0.32167369552633751</v>
      </c>
      <c r="F29" s="121">
        <f>F28/E28-1</f>
        <v>8.1774385284364648E-2</v>
      </c>
      <c r="G29" s="121">
        <f t="shared" ref="G29" si="31">G28/F28-1</f>
        <v>-1.0005783689994163E-2</v>
      </c>
      <c r="H29" s="122">
        <f t="shared" ref="H29" si="32">H28/G28-1</f>
        <v>0.18291756733072395</v>
      </c>
      <c r="J29" s="110">
        <f>AVERAGE(C29:H29)</f>
        <v>0.10902347493306457</v>
      </c>
      <c r="K29" s="111">
        <f>_xlfn.STDEV.S(C29:H29)</f>
        <v>0.14600125972340086</v>
      </c>
      <c r="L29" s="250"/>
      <c r="Q29" s="25"/>
    </row>
    <row r="31" spans="1:17" s="250" customFormat="1" x14ac:dyDescent="0.2"/>
    <row r="32" spans="1:17" s="250" customFormat="1" x14ac:dyDescent="0.2"/>
    <row r="33" s="250" customFormat="1" x14ac:dyDescent="0.2"/>
    <row r="34" s="250" customFormat="1" x14ac:dyDescent="0.2"/>
    <row r="35" s="250" customFormat="1" x14ac:dyDescent="0.2"/>
    <row r="36" s="250" customFormat="1" x14ac:dyDescent="0.2"/>
    <row r="37" s="250" customFormat="1" x14ac:dyDescent="0.2"/>
    <row r="38" s="250" customFormat="1" x14ac:dyDescent="0.2"/>
    <row r="39" s="250" customFormat="1" x14ac:dyDescent="0.2"/>
    <row r="40" s="250" customFormat="1" x14ac:dyDescent="0.2"/>
    <row r="41" s="250" customFormat="1" x14ac:dyDescent="0.2"/>
    <row r="42" s="250" customFormat="1" x14ac:dyDescent="0.2"/>
  </sheetData>
  <hyperlinks>
    <hyperlink ref="N14" location="'Assumptions Explanation'!A2" display="Assumption 1" xr:uid="{FA42F375-2F3A-4B4C-BF7D-8FA6E0A3E0BE}"/>
    <hyperlink ref="N5" location="'Assumptions Explanation'!A24" display="Assumption 23" xr:uid="{A7B6EF8D-C289-324D-9375-257CBAF91231}"/>
    <hyperlink ref="N8" location="'Assumptions Explanation'!A25" display="Assumption 24" xr:uid="{2FCABB83-42E7-EB4E-BCC1-48D530C06FA3}"/>
    <hyperlink ref="N11" location="'Assumptions Explanation'!A26" display="Assumption 25" xr:uid="{64252DF6-43F5-E745-BB3F-9674D2873B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47BB-442B-3D44-BF0C-B658AFB99DB9}">
  <sheetPr codeName="Sheet7"/>
  <dimension ref="A2:N129"/>
  <sheetViews>
    <sheetView showGridLines="0" workbookViewId="0">
      <selection activeCell="I80" sqref="I80"/>
    </sheetView>
  </sheetViews>
  <sheetFormatPr baseColWidth="10" defaultColWidth="11" defaultRowHeight="14" x14ac:dyDescent="0.2"/>
  <cols>
    <col min="1" max="1" width="3.83203125" style="247" customWidth="1"/>
    <col min="2" max="2" width="30.5" style="9" customWidth="1"/>
    <col min="3" max="11" width="10.83203125" style="25"/>
    <col min="12" max="12" width="12.6640625" style="25" bestFit="1" customWidth="1"/>
    <col min="13" max="13" width="10.83203125" style="25"/>
    <col min="14" max="16384" width="11" style="9"/>
  </cols>
  <sheetData>
    <row r="2" spans="2:14" x14ac:dyDescent="0.2">
      <c r="B2" s="64" t="s">
        <v>86</v>
      </c>
      <c r="C2" s="65"/>
      <c r="D2" s="67"/>
      <c r="E2" s="67"/>
      <c r="F2" s="67"/>
      <c r="G2" s="67"/>
      <c r="H2" s="67"/>
      <c r="I2" s="67"/>
      <c r="J2" s="134"/>
      <c r="K2" s="134"/>
      <c r="L2" s="134"/>
      <c r="M2" s="134"/>
      <c r="N2" s="134"/>
    </row>
    <row r="3" spans="2:14" x14ac:dyDescent="0.2">
      <c r="B3" s="12" t="s">
        <v>11</v>
      </c>
      <c r="C3" s="264">
        <v>1</v>
      </c>
      <c r="D3" s="9"/>
      <c r="G3" s="9"/>
      <c r="H3" s="9"/>
      <c r="I3" s="9"/>
      <c r="J3" s="9"/>
      <c r="K3" s="9"/>
      <c r="L3" s="9"/>
      <c r="M3" s="9"/>
    </row>
    <row r="4" spans="2:14" x14ac:dyDescent="0.2">
      <c r="B4" s="12" t="s">
        <v>87</v>
      </c>
      <c r="C4" s="19" t="str" cm="1">
        <f t="array" ref="C4">_xlfn.IFS(C3=1, "Base", C3=2, "Bull", C3=3, "Bear")</f>
        <v>Base</v>
      </c>
      <c r="D4" s="9"/>
      <c r="G4" s="9"/>
      <c r="H4" s="9"/>
      <c r="I4" s="9"/>
      <c r="J4" s="9"/>
      <c r="K4" s="9"/>
      <c r="L4" s="9"/>
      <c r="M4" s="9"/>
    </row>
    <row r="5" spans="2:14" x14ac:dyDescent="0.2">
      <c r="B5" s="12" t="s">
        <v>88</v>
      </c>
      <c r="C5" s="245">
        <v>2.47E-2</v>
      </c>
      <c r="D5" s="271" t="s">
        <v>89</v>
      </c>
      <c r="G5" s="9"/>
      <c r="H5" s="9"/>
      <c r="I5" s="9"/>
      <c r="J5" s="9"/>
      <c r="K5" s="9"/>
      <c r="L5" s="9"/>
      <c r="M5" s="9"/>
    </row>
    <row r="6" spans="2:14" x14ac:dyDescent="0.2">
      <c r="B6" s="12" t="s">
        <v>90</v>
      </c>
      <c r="C6" s="346">
        <f>'Cost of Equity'!X19</f>
        <v>0.66554845392080408</v>
      </c>
      <c r="D6" s="9"/>
      <c r="G6" s="9"/>
      <c r="H6" s="9"/>
      <c r="I6" s="9"/>
      <c r="J6" s="9"/>
      <c r="K6" s="9"/>
      <c r="L6" s="9"/>
      <c r="M6" s="9"/>
    </row>
    <row r="7" spans="2:14" x14ac:dyDescent="0.2">
      <c r="B7" s="12" t="s">
        <v>91</v>
      </c>
      <c r="C7" s="69">
        <f>WACC!B7</f>
        <v>6.1305164965644227E-2</v>
      </c>
      <c r="D7" s="10"/>
      <c r="E7" s="10"/>
      <c r="F7" s="9"/>
      <c r="G7" s="9"/>
      <c r="H7" s="9"/>
      <c r="I7" s="10"/>
      <c r="J7" s="9"/>
      <c r="K7" s="9"/>
      <c r="L7" s="9"/>
      <c r="M7" s="9"/>
    </row>
    <row r="8" spans="2:14" x14ac:dyDescent="0.2">
      <c r="B8" s="12" t="s">
        <v>92</v>
      </c>
      <c r="C8" s="69">
        <f>WACC!B5</f>
        <v>2.4109514170857729E-2</v>
      </c>
      <c r="D8" s="10"/>
      <c r="E8" s="10"/>
      <c r="F8" s="9"/>
      <c r="G8" s="9"/>
      <c r="H8" s="9"/>
      <c r="I8" s="10"/>
      <c r="J8" s="9"/>
      <c r="K8" s="9"/>
      <c r="L8" s="9"/>
      <c r="M8" s="9"/>
    </row>
    <row r="9" spans="2:14" x14ac:dyDescent="0.2">
      <c r="B9" s="12" t="s">
        <v>93</v>
      </c>
      <c r="C9" s="245">
        <v>0.02</v>
      </c>
      <c r="D9" s="10"/>
      <c r="E9" s="10"/>
      <c r="F9" s="9"/>
      <c r="G9" s="9"/>
      <c r="H9" s="9"/>
      <c r="I9" s="10"/>
      <c r="J9" s="9"/>
      <c r="K9" s="9"/>
      <c r="L9" s="9"/>
      <c r="M9" s="9"/>
    </row>
    <row r="10" spans="2:14" x14ac:dyDescent="0.2">
      <c r="B10" s="12" t="s">
        <v>94</v>
      </c>
      <c r="C10" s="69">
        <v>0.21</v>
      </c>
      <c r="D10" s="10"/>
      <c r="E10" s="10"/>
      <c r="F10" s="9"/>
      <c r="G10" s="9"/>
      <c r="H10" s="9"/>
      <c r="I10" s="10"/>
      <c r="J10" s="9"/>
      <c r="K10" s="9"/>
      <c r="L10" s="9"/>
      <c r="M10" s="9"/>
    </row>
    <row r="11" spans="2:14" x14ac:dyDescent="0.2">
      <c r="B11" s="66" t="s">
        <v>95</v>
      </c>
      <c r="C11" s="265">
        <f>WACC!E7</f>
        <v>5.2902418494095611E-2</v>
      </c>
      <c r="D11" s="10"/>
      <c r="E11" s="10"/>
      <c r="F11" s="9"/>
      <c r="G11" s="9"/>
      <c r="H11" s="9"/>
      <c r="I11" s="10"/>
      <c r="J11" s="9"/>
      <c r="K11" s="9"/>
      <c r="L11" s="9"/>
      <c r="M11" s="9"/>
    </row>
    <row r="12" spans="2:14" x14ac:dyDescent="0.2">
      <c r="C12" s="9"/>
      <c r="D12" s="9"/>
      <c r="E12" s="9"/>
      <c r="F12" s="9"/>
      <c r="G12" s="9"/>
      <c r="H12" s="9"/>
      <c r="I12" s="9"/>
      <c r="J12" s="9"/>
      <c r="K12" s="9"/>
      <c r="L12" s="9"/>
      <c r="M12" s="9"/>
    </row>
    <row r="13" spans="2:14" x14ac:dyDescent="0.2">
      <c r="B13" s="378" t="s">
        <v>13</v>
      </c>
      <c r="C13" s="382"/>
      <c r="D13" s="9"/>
      <c r="E13" s="9"/>
      <c r="F13" s="9"/>
      <c r="G13" s="9"/>
      <c r="H13" s="9"/>
      <c r="I13" s="9"/>
      <c r="J13" s="9"/>
      <c r="K13" s="9"/>
      <c r="L13" s="9"/>
      <c r="M13" s="9"/>
    </row>
    <row r="14" spans="2:14" x14ac:dyDescent="0.2">
      <c r="B14" s="238">
        <v>1</v>
      </c>
      <c r="C14" s="19" t="s">
        <v>14</v>
      </c>
      <c r="D14" s="9"/>
      <c r="E14" s="9"/>
      <c r="F14" s="9"/>
      <c r="G14" s="9"/>
      <c r="H14" s="9"/>
      <c r="I14" s="9"/>
      <c r="J14" s="9"/>
      <c r="K14" s="9"/>
      <c r="L14" s="9"/>
      <c r="M14" s="9"/>
    </row>
    <row r="15" spans="2:14" x14ac:dyDescent="0.2">
      <c r="B15" s="238">
        <v>2</v>
      </c>
      <c r="C15" s="19" t="s">
        <v>15</v>
      </c>
      <c r="D15" s="9"/>
      <c r="E15" s="9"/>
      <c r="F15" s="9"/>
      <c r="G15" s="9"/>
      <c r="H15" s="9"/>
      <c r="I15" s="9"/>
      <c r="J15" s="9"/>
      <c r="K15" s="9"/>
      <c r="L15" s="9"/>
      <c r="M15" s="9"/>
    </row>
    <row r="16" spans="2:14" x14ac:dyDescent="0.2">
      <c r="B16" s="239">
        <v>3</v>
      </c>
      <c r="C16" s="240" t="s">
        <v>16</v>
      </c>
      <c r="D16" s="9"/>
      <c r="E16" s="9"/>
      <c r="F16" s="9"/>
      <c r="G16" s="9"/>
      <c r="H16" s="9"/>
      <c r="I16" s="9"/>
      <c r="J16" s="9"/>
      <c r="K16" s="9"/>
      <c r="L16" s="9"/>
      <c r="M16" s="9"/>
    </row>
    <row r="17" spans="2:14" x14ac:dyDescent="0.2">
      <c r="C17" s="9"/>
      <c r="D17" s="9"/>
      <c r="E17" s="9"/>
      <c r="F17" s="9"/>
      <c r="G17" s="9"/>
      <c r="H17" s="9"/>
      <c r="I17" s="9"/>
      <c r="J17" s="9"/>
      <c r="K17" s="9"/>
      <c r="L17" s="9"/>
      <c r="M17" s="9"/>
    </row>
    <row r="18" spans="2:14" x14ac:dyDescent="0.2">
      <c r="B18" s="64" t="s">
        <v>96</v>
      </c>
      <c r="C18" s="132"/>
      <c r="D18" s="132"/>
      <c r="E18" s="132"/>
      <c r="F18" s="132"/>
      <c r="G18" s="132"/>
      <c r="H18" s="132"/>
      <c r="I18" s="132"/>
      <c r="J18" s="132"/>
      <c r="K18" s="132"/>
      <c r="L18" s="132"/>
      <c r="M18" s="132"/>
      <c r="N18" s="65"/>
    </row>
    <row r="19" spans="2:14" x14ac:dyDescent="0.2">
      <c r="B19" s="12" t="s">
        <v>97</v>
      </c>
      <c r="C19" s="9"/>
      <c r="D19" s="82"/>
      <c r="E19" s="82"/>
      <c r="F19" s="82"/>
      <c r="G19" s="82"/>
      <c r="H19" s="82"/>
      <c r="I19" s="82"/>
      <c r="J19" s="82">
        <v>1</v>
      </c>
      <c r="K19" s="82">
        <v>2</v>
      </c>
      <c r="L19" s="82">
        <v>3</v>
      </c>
      <c r="M19" s="82">
        <v>4</v>
      </c>
      <c r="N19" s="133">
        <v>5</v>
      </c>
    </row>
    <row r="20" spans="2:14" x14ac:dyDescent="0.2">
      <c r="B20" s="11" t="s">
        <v>98</v>
      </c>
      <c r="C20" s="8"/>
      <c r="D20" s="67" t="s">
        <v>17</v>
      </c>
      <c r="E20" s="67">
        <v>2017</v>
      </c>
      <c r="F20" s="67">
        <f t="shared" ref="F20:N20" si="0">E20+1</f>
        <v>2018</v>
      </c>
      <c r="G20" s="67">
        <f t="shared" si="0"/>
        <v>2019</v>
      </c>
      <c r="H20" s="67">
        <f t="shared" si="0"/>
        <v>2020</v>
      </c>
      <c r="I20" s="67">
        <f t="shared" si="0"/>
        <v>2021</v>
      </c>
      <c r="J20" s="134">
        <f t="shared" si="0"/>
        <v>2022</v>
      </c>
      <c r="K20" s="134">
        <f t="shared" si="0"/>
        <v>2023</v>
      </c>
      <c r="L20" s="134">
        <f t="shared" si="0"/>
        <v>2024</v>
      </c>
      <c r="M20" s="134">
        <f t="shared" si="0"/>
        <v>2025</v>
      </c>
      <c r="N20" s="135">
        <f t="shared" si="0"/>
        <v>2026</v>
      </c>
    </row>
    <row r="21" spans="2:14" x14ac:dyDescent="0.2">
      <c r="B21" s="113" t="s">
        <v>47</v>
      </c>
      <c r="D21" s="71"/>
      <c r="E21" s="71"/>
      <c r="F21" s="71"/>
      <c r="G21" s="71"/>
      <c r="H21" s="71"/>
      <c r="I21" s="71"/>
      <c r="J21" s="71"/>
      <c r="K21" s="71"/>
      <c r="L21" s="71"/>
      <c r="M21" s="71"/>
      <c r="N21" s="90"/>
    </row>
    <row r="22" spans="2:14" x14ac:dyDescent="0.2">
      <c r="B22" s="89" t="s">
        <v>99</v>
      </c>
      <c r="D22" s="82">
        <f>'Revenue Model'!C13</f>
        <v>12483</v>
      </c>
      <c r="E22" s="82">
        <f>'Revenue Model'!D13</f>
        <v>12093</v>
      </c>
      <c r="F22" s="82">
        <f>'Revenue Model'!E13</f>
        <v>15983</v>
      </c>
      <c r="G22" s="82">
        <f>'Revenue Model'!F13</f>
        <v>17290</v>
      </c>
      <c r="H22" s="82">
        <f>'Revenue Model'!G13</f>
        <v>17117</v>
      </c>
      <c r="I22" s="82">
        <f>H22*(1+Inputs!H12)</f>
        <v>20248.000000000004</v>
      </c>
      <c r="J22" s="82">
        <f>I22*(1+Inputs!I12)</f>
        <v>19899.517017966526</v>
      </c>
      <c r="K22" s="82">
        <f>J22*(1+Inputs!J12)</f>
        <v>20531.213612126685</v>
      </c>
      <c r="L22" s="82">
        <f>K22*(1+Inputs!K12)</f>
        <v>21185.850495396629</v>
      </c>
      <c r="M22" s="82">
        <f>L22*(1+Inputs!L12)</f>
        <v>21864.328918248306</v>
      </c>
      <c r="N22" s="133">
        <f>M22*(1+Inputs!M12)</f>
        <v>22567.586945660441</v>
      </c>
    </row>
    <row r="23" spans="2:14" x14ac:dyDescent="0.2">
      <c r="B23" s="89" t="s">
        <v>100</v>
      </c>
      <c r="D23" s="82">
        <f>'DCF Valuation'!D22*Inputs!C23</f>
        <v>5442</v>
      </c>
      <c r="E23" s="82">
        <f>'DCF Valuation'!E22*Inputs!D23</f>
        <v>5212</v>
      </c>
      <c r="F23" s="82">
        <f>'DCF Valuation'!F22*Inputs!E23</f>
        <v>6859</v>
      </c>
      <c r="G23" s="82">
        <f>'DCF Valuation'!G22*Inputs!F23</f>
        <v>6871.9999999999991</v>
      </c>
      <c r="H23" s="82">
        <f>'DCF Valuation'!H22*Inputs!G23</f>
        <v>7510</v>
      </c>
      <c r="I23" s="82">
        <f>'DCF Valuation'!I22*Inputs!H23</f>
        <v>8638.0000000000018</v>
      </c>
      <c r="J23" s="82">
        <f>'DCF Valuation'!J22*Inputs!I23</f>
        <v>9083.7972516908685</v>
      </c>
      <c r="K23" s="82">
        <f>'DCF Valuation'!K22*Inputs!J23</f>
        <v>9372.1561993353644</v>
      </c>
      <c r="L23" s="82">
        <f>'DCF Valuation'!L22*Inputs!K23</f>
        <v>9670.9870059189634</v>
      </c>
      <c r="M23" s="82">
        <f>'DCF Valuation'!M22*Inputs!L23</f>
        <v>9980.7010772337162</v>
      </c>
      <c r="N23" s="133">
        <f>'DCF Valuation'!N22*Inputs!M23</f>
        <v>10301.726624279314</v>
      </c>
    </row>
    <row r="24" spans="2:14" x14ac:dyDescent="0.2">
      <c r="B24" s="89" t="s">
        <v>54</v>
      </c>
      <c r="D24" s="83">
        <f>D22*Inputs!C24</f>
        <v>3833</v>
      </c>
      <c r="E24" s="83">
        <f>E22*Inputs!D24</f>
        <v>3699</v>
      </c>
      <c r="F24" s="83">
        <f>F22*Inputs!E24</f>
        <v>5020</v>
      </c>
      <c r="G24" s="83">
        <f>G22*Inputs!F24</f>
        <v>5394</v>
      </c>
      <c r="H24" s="83">
        <f>H22*Inputs!G24</f>
        <v>5421</v>
      </c>
      <c r="I24" s="83">
        <f>I22*Inputs!H24</f>
        <v>6206.0000000000018</v>
      </c>
      <c r="J24" s="83">
        <f>J22*Inputs!I24</f>
        <v>6972.111146595601</v>
      </c>
      <c r="K24" s="83">
        <f>K22*Inputs!J24</f>
        <v>7193.4360592271032</v>
      </c>
      <c r="L24" s="83">
        <f>L22*Inputs!K24</f>
        <v>7422.7984656964727</v>
      </c>
      <c r="M24" s="83">
        <f>M22*Inputs!L24</f>
        <v>7660.5141333892034</v>
      </c>
      <c r="N24" s="136">
        <f>N22*Inputs!M24</f>
        <v>7906.9117282366606</v>
      </c>
    </row>
    <row r="25" spans="2:14" x14ac:dyDescent="0.2">
      <c r="B25" s="89" t="s">
        <v>101</v>
      </c>
      <c r="D25" s="76">
        <f>D22-D23-D24</f>
        <v>3208</v>
      </c>
      <c r="E25" s="76">
        <f t="shared" ref="E25:N25" si="1">E22-E23-E24</f>
        <v>3182</v>
      </c>
      <c r="F25" s="76">
        <f t="shared" si="1"/>
        <v>4104</v>
      </c>
      <c r="G25" s="76">
        <f t="shared" si="1"/>
        <v>5024</v>
      </c>
      <c r="H25" s="76">
        <f t="shared" si="1"/>
        <v>4186</v>
      </c>
      <c r="I25" s="76">
        <f t="shared" si="1"/>
        <v>5404</v>
      </c>
      <c r="J25" s="76">
        <f t="shared" si="1"/>
        <v>3843.6086196800561</v>
      </c>
      <c r="K25" s="76">
        <f t="shared" si="1"/>
        <v>3965.6213535642173</v>
      </c>
      <c r="L25" s="76">
        <f t="shared" si="1"/>
        <v>4092.0650237811933</v>
      </c>
      <c r="M25" s="76">
        <f t="shared" si="1"/>
        <v>4223.1137076253863</v>
      </c>
      <c r="N25" s="99">
        <f t="shared" si="1"/>
        <v>4358.9485931444669</v>
      </c>
    </row>
    <row r="26" spans="2:14" x14ac:dyDescent="0.2">
      <c r="B26" s="89" t="s">
        <v>102</v>
      </c>
      <c r="D26" s="84">
        <f>D25*Inputs!C28</f>
        <v>292.72253258845438</v>
      </c>
      <c r="E26" s="84">
        <f>E25*Inputs!D28</f>
        <v>-404.27049180327867</v>
      </c>
      <c r="F26" s="84">
        <f>F25*Inputs!E28</f>
        <v>3015.8976982097183</v>
      </c>
      <c r="G26" s="84">
        <f>G25*Inputs!F28</f>
        <v>-243.51020408163265</v>
      </c>
      <c r="H26" s="84">
        <f>H25*Inputs!G28</f>
        <v>471.72182741116751</v>
      </c>
      <c r="I26" s="84">
        <f>I25*Inputs!H28</f>
        <v>361.55218554861733</v>
      </c>
      <c r="J26" s="84">
        <f>J25*Inputs!I28</f>
        <v>807.15781013281173</v>
      </c>
      <c r="K26" s="84">
        <f>K25*Inputs!J28</f>
        <v>832.78048424848555</v>
      </c>
      <c r="L26" s="84">
        <f>L25*Inputs!K28</f>
        <v>859.33365499405056</v>
      </c>
      <c r="M26" s="84">
        <f>M25*Inputs!L28</f>
        <v>886.85387860133108</v>
      </c>
      <c r="N26" s="137">
        <f>N25*Inputs!M28</f>
        <v>915.37920456033805</v>
      </c>
    </row>
    <row r="27" spans="2:14" x14ac:dyDescent="0.2">
      <c r="B27" s="89" t="s">
        <v>103</v>
      </c>
      <c r="D27" s="76">
        <f>D25-D26</f>
        <v>2915.2774674115458</v>
      </c>
      <c r="E27" s="76">
        <f t="shared" ref="E27:N27" si="2">E25-E26</f>
        <v>3586.2704918032787</v>
      </c>
      <c r="F27" s="76">
        <f t="shared" si="2"/>
        <v>1088.1023017902817</v>
      </c>
      <c r="G27" s="76">
        <f t="shared" si="2"/>
        <v>5267.5102040816328</v>
      </c>
      <c r="H27" s="76">
        <f t="shared" si="2"/>
        <v>3714.2781725888326</v>
      </c>
      <c r="I27" s="76">
        <f t="shared" si="2"/>
        <v>5042.4478144513823</v>
      </c>
      <c r="J27" s="76">
        <f t="shared" si="2"/>
        <v>3036.4508095472443</v>
      </c>
      <c r="K27" s="76">
        <f t="shared" si="2"/>
        <v>3132.8408693157317</v>
      </c>
      <c r="L27" s="76">
        <f t="shared" si="2"/>
        <v>3232.7313687871429</v>
      </c>
      <c r="M27" s="76">
        <f t="shared" si="2"/>
        <v>3336.2598290240553</v>
      </c>
      <c r="N27" s="99">
        <f t="shared" si="2"/>
        <v>3443.5693885841288</v>
      </c>
    </row>
    <row r="28" spans="2:14" x14ac:dyDescent="0.2">
      <c r="B28" s="138" t="s">
        <v>104</v>
      </c>
      <c r="D28" s="76">
        <f>'DCF Valuation'!D22*Inputs!C25</f>
        <v>1050</v>
      </c>
      <c r="E28" s="76">
        <f>'DCF Valuation'!E22*Inputs!D25</f>
        <v>938.99999999999989</v>
      </c>
      <c r="F28" s="76">
        <f>'DCF Valuation'!F22*Inputs!E25</f>
        <v>1855</v>
      </c>
      <c r="G28" s="76">
        <f>'DCF Valuation'!G22*Inputs!F25</f>
        <v>2130</v>
      </c>
      <c r="H28" s="76">
        <f>'DCF Valuation'!H22*Inputs!G25</f>
        <v>2030</v>
      </c>
      <c r="I28" s="76">
        <f>'DCF Valuation'!I22*Inputs!H25</f>
        <v>2134.0000000000005</v>
      </c>
      <c r="J28" s="76">
        <f>'DCF Valuation'!J22*Inputs!I25</f>
        <v>2072.881966709072</v>
      </c>
      <c r="K28" s="76">
        <f>'DCF Valuation'!K22*Inputs!J25</f>
        <v>2138.6841908175215</v>
      </c>
      <c r="L28" s="76">
        <f>'DCF Valuation'!L22*Inputs!K25</f>
        <v>2206.8760463709868</v>
      </c>
      <c r="M28" s="76">
        <f>'DCF Valuation'!M22*Inputs!L25</f>
        <v>2277.551414333971</v>
      </c>
      <c r="N28" s="99">
        <f>'DCF Valuation'!N22*Inputs!M25</f>
        <v>2350.8080105443132</v>
      </c>
    </row>
    <row r="29" spans="2:14" x14ac:dyDescent="0.2">
      <c r="B29" s="138" t="s">
        <v>105</v>
      </c>
      <c r="D29" s="82">
        <f>D22*Inputs!C27</f>
        <v>399</v>
      </c>
      <c r="E29" s="82">
        <f>E22*Inputs!D27</f>
        <v>-371</v>
      </c>
      <c r="F29" s="82">
        <f>F22*Inputs!E27</f>
        <v>897</v>
      </c>
      <c r="G29" s="82">
        <f>G22*Inputs!F27</f>
        <v>-369</v>
      </c>
      <c r="H29" s="82">
        <f>H22*Inputs!G27</f>
        <v>113</v>
      </c>
      <c r="I29" s="82">
        <f>I22*Inputs!H27</f>
        <v>334.00000000000006</v>
      </c>
      <c r="J29" s="82">
        <f>J22*Inputs!I27</f>
        <v>196.21573601710546</v>
      </c>
      <c r="K29" s="82">
        <f>K22*Inputs!J27</f>
        <v>202.44447071708464</v>
      </c>
      <c r="L29" s="82">
        <f>L22*Inputs!K27</f>
        <v>208.89940415887537</v>
      </c>
      <c r="M29" s="82">
        <f>M22*Inputs!L27</f>
        <v>215.58942296643588</v>
      </c>
      <c r="N29" s="133">
        <f>N22*Inputs!M27</f>
        <v>222.52377676678307</v>
      </c>
    </row>
    <row r="30" spans="2:14" x14ac:dyDescent="0.2">
      <c r="B30" s="138" t="s">
        <v>106</v>
      </c>
      <c r="D30" s="83">
        <f>D22*Inputs!C26</f>
        <v>718</v>
      </c>
      <c r="E30" s="83">
        <f>E22*Inputs!D26</f>
        <v>727</v>
      </c>
      <c r="F30" s="83">
        <f>F22*Inputs!E26</f>
        <v>895</v>
      </c>
      <c r="G30" s="83">
        <f>G22*Inputs!F26</f>
        <v>957</v>
      </c>
      <c r="H30" s="83">
        <f>H22*Inputs!G26</f>
        <v>810</v>
      </c>
      <c r="I30" s="83">
        <f>I22*Inputs!H26</f>
        <v>1231.0000000000002</v>
      </c>
      <c r="J30" s="83">
        <f>J22*Inputs!I26</f>
        <v>1317.0165754721979</v>
      </c>
      <c r="K30" s="83">
        <f>K22*Inputs!J26</f>
        <v>1564.1365044372369</v>
      </c>
      <c r="L30" s="83">
        <f>L22*Inputs!K26</f>
        <v>1825.8674361077981</v>
      </c>
      <c r="M30" s="83">
        <f>M22*Inputs!L26</f>
        <v>2102.9842644411324</v>
      </c>
      <c r="N30" s="136">
        <f>N22*Inputs!M26</f>
        <v>2396.3018425007976</v>
      </c>
    </row>
    <row r="31" spans="2:14" x14ac:dyDescent="0.2">
      <c r="B31" s="89" t="s">
        <v>98</v>
      </c>
      <c r="D31" s="82">
        <f>D27+D28-D29-D30</f>
        <v>2848.2774674115458</v>
      </c>
      <c r="E31" s="82">
        <f t="shared" ref="E31:N31" si="3">E27+E28-E29-E30</f>
        <v>4169.2704918032787</v>
      </c>
      <c r="F31" s="82">
        <f t="shared" si="3"/>
        <v>1151.1023017902817</v>
      </c>
      <c r="G31" s="82">
        <f t="shared" si="3"/>
        <v>6809.5102040816328</v>
      </c>
      <c r="H31" s="82">
        <f t="shared" si="3"/>
        <v>4821.2781725888326</v>
      </c>
      <c r="I31" s="82">
        <f t="shared" si="3"/>
        <v>5611.4478144513832</v>
      </c>
      <c r="J31" s="82">
        <f t="shared" si="3"/>
        <v>3596.1004647670129</v>
      </c>
      <c r="K31" s="82">
        <f t="shared" si="3"/>
        <v>3504.9440849789326</v>
      </c>
      <c r="L31" s="82">
        <f t="shared" si="3"/>
        <v>3404.8405748914556</v>
      </c>
      <c r="M31" s="82">
        <f t="shared" si="3"/>
        <v>3295.2375559504585</v>
      </c>
      <c r="N31" s="133">
        <f t="shared" si="3"/>
        <v>3175.5517798608607</v>
      </c>
    </row>
    <row r="32" spans="2:14" x14ac:dyDescent="0.2">
      <c r="B32" s="89" t="s">
        <v>107</v>
      </c>
      <c r="D32" s="85"/>
      <c r="E32" s="85"/>
      <c r="F32" s="85"/>
      <c r="G32" s="85"/>
      <c r="H32" s="85"/>
      <c r="I32" s="85"/>
      <c r="J32" s="85">
        <f>1/(1+$C$11)^1</f>
        <v>0.94975563018483822</v>
      </c>
      <c r="K32" s="85">
        <f>1/(1+$C$11)^2</f>
        <v>0.90203575706779904</v>
      </c>
      <c r="L32" s="85">
        <f>1/(1+$C$11)^3</f>
        <v>0.85671353890318502</v>
      </c>
      <c r="M32" s="85">
        <f>1/(1+$C$11)^4</f>
        <v>0.81366850702887739</v>
      </c>
      <c r="N32" s="139">
        <f>1/(1+$C$11)^5</f>
        <v>0.77278624565476783</v>
      </c>
    </row>
    <row r="33" spans="2:14" x14ac:dyDescent="0.2">
      <c r="B33" s="92" t="s">
        <v>108</v>
      </c>
      <c r="C33" s="252"/>
      <c r="D33" s="83"/>
      <c r="E33" s="83"/>
      <c r="F33" s="83"/>
      <c r="G33" s="83"/>
      <c r="H33" s="83"/>
      <c r="I33" s="83"/>
      <c r="J33" s="83">
        <f t="shared" ref="J33:N33" si="4">J31*J32</f>
        <v>3415.416663122784</v>
      </c>
      <c r="K33" s="83">
        <f t="shared" si="4"/>
        <v>3161.5848911742755</v>
      </c>
      <c r="L33" s="83">
        <f t="shared" si="4"/>
        <v>2916.9730183164138</v>
      </c>
      <c r="M33" s="83">
        <f t="shared" si="4"/>
        <v>2681.2310224556963</v>
      </c>
      <c r="N33" s="136">
        <f t="shared" si="4"/>
        <v>2454.0227378409904</v>
      </c>
    </row>
    <row r="34" spans="2:14" x14ac:dyDescent="0.2">
      <c r="B34" s="71"/>
      <c r="D34" s="82"/>
      <c r="E34" s="82"/>
      <c r="F34" s="82"/>
      <c r="G34" s="82"/>
      <c r="H34" s="82"/>
      <c r="I34" s="82"/>
      <c r="J34" s="82"/>
      <c r="K34" s="82"/>
      <c r="L34" s="82"/>
      <c r="M34" s="82"/>
      <c r="N34" s="82"/>
    </row>
    <row r="36" spans="2:14" x14ac:dyDescent="0.2">
      <c r="B36" s="8" t="s">
        <v>109</v>
      </c>
      <c r="C36" s="8"/>
      <c r="D36" s="8"/>
      <c r="E36" s="8"/>
      <c r="F36" s="8"/>
      <c r="G36" s="8"/>
      <c r="H36" s="8"/>
      <c r="I36" s="8"/>
      <c r="J36" s="8"/>
      <c r="K36" s="8"/>
      <c r="L36" s="8"/>
      <c r="M36" s="8"/>
      <c r="N36" s="8"/>
    </row>
    <row r="37" spans="2:14" x14ac:dyDescent="0.2">
      <c r="C37" s="9"/>
      <c r="D37" s="9"/>
      <c r="E37" s="9"/>
      <c r="F37" s="9"/>
      <c r="G37" s="9"/>
      <c r="H37" s="9"/>
      <c r="I37" s="9"/>
      <c r="J37" s="9"/>
      <c r="K37" s="9"/>
      <c r="L37" s="9"/>
      <c r="M37" s="9"/>
    </row>
    <row r="38" spans="2:14" x14ac:dyDescent="0.2">
      <c r="B38" s="378" t="s">
        <v>110</v>
      </c>
      <c r="C38" s="382"/>
      <c r="D38" s="9"/>
      <c r="E38" s="9"/>
      <c r="F38" s="9"/>
      <c r="G38" s="9"/>
      <c r="H38" s="9"/>
      <c r="I38" s="9"/>
      <c r="J38" s="9"/>
      <c r="K38" s="9"/>
      <c r="L38" s="9"/>
      <c r="M38" s="9"/>
    </row>
    <row r="39" spans="2:14" x14ac:dyDescent="0.2">
      <c r="B39" s="12" t="s">
        <v>111</v>
      </c>
      <c r="C39" s="146" t="s">
        <v>112</v>
      </c>
      <c r="D39" s="17"/>
      <c r="E39" s="17"/>
      <c r="F39" s="9"/>
      <c r="G39" s="9"/>
      <c r="H39" s="9"/>
      <c r="I39" s="9"/>
      <c r="J39" s="9"/>
      <c r="K39" s="14"/>
      <c r="L39" s="15"/>
      <c r="M39" s="15"/>
      <c r="N39" s="15"/>
    </row>
    <row r="40" spans="2:14" x14ac:dyDescent="0.2">
      <c r="B40" s="12" t="s">
        <v>113</v>
      </c>
      <c r="C40" s="144">
        <f>N31*(1+C41)</f>
        <v>3239.0628154580781</v>
      </c>
      <c r="D40" s="17"/>
      <c r="E40" s="17"/>
      <c r="F40" s="9"/>
      <c r="G40" s="9"/>
      <c r="H40" s="9"/>
      <c r="I40" s="9"/>
      <c r="J40" s="9"/>
      <c r="K40" s="14"/>
      <c r="L40" s="15"/>
      <c r="M40" s="15"/>
      <c r="N40" s="15"/>
    </row>
    <row r="41" spans="2:14" x14ac:dyDescent="0.2">
      <c r="B41" s="12" t="s">
        <v>93</v>
      </c>
      <c r="C41" s="18">
        <v>0.02</v>
      </c>
      <c r="D41" s="249" t="s">
        <v>114</v>
      </c>
      <c r="E41" s="9"/>
      <c r="F41" s="9"/>
      <c r="G41" s="9"/>
      <c r="H41" s="9"/>
      <c r="I41" s="9"/>
      <c r="J41" s="9"/>
      <c r="K41" s="9"/>
      <c r="L41" s="9"/>
      <c r="M41" s="9"/>
    </row>
    <row r="42" spans="2:14" x14ac:dyDescent="0.2">
      <c r="B42" s="12" t="s">
        <v>115</v>
      </c>
      <c r="C42" s="265">
        <f>C11</f>
        <v>5.2902418494095611E-2</v>
      </c>
      <c r="D42" s="9"/>
      <c r="E42" s="9"/>
      <c r="F42" s="9"/>
      <c r="G42" s="9"/>
      <c r="H42" s="9"/>
      <c r="I42" s="9"/>
      <c r="J42" s="9"/>
      <c r="K42" s="14"/>
      <c r="L42" s="15"/>
      <c r="M42" s="15"/>
      <c r="N42" s="15"/>
    </row>
    <row r="43" spans="2:14" x14ac:dyDescent="0.2">
      <c r="B43" s="12" t="s">
        <v>110</v>
      </c>
      <c r="C43" s="147">
        <f>C40/(C42-C41)</f>
        <v>98444.520606876744</v>
      </c>
      <c r="D43" s="9"/>
      <c r="E43" s="9"/>
      <c r="F43" s="9"/>
      <c r="G43" s="9"/>
      <c r="H43" s="9"/>
      <c r="I43" s="9"/>
      <c r="J43" s="9"/>
      <c r="K43" s="14"/>
      <c r="L43" s="15"/>
      <c r="M43" s="15"/>
      <c r="N43" s="15"/>
    </row>
    <row r="44" spans="2:14" x14ac:dyDescent="0.2">
      <c r="B44" s="13" t="s">
        <v>116</v>
      </c>
      <c r="C44" s="145">
        <f>C43/(1+C42)^5</f>
        <v>76076.571485071705</v>
      </c>
      <c r="D44" s="9"/>
      <c r="E44" s="9"/>
      <c r="F44" s="9"/>
      <c r="G44" s="9"/>
      <c r="H44" s="9"/>
      <c r="I44" s="9"/>
      <c r="J44" s="9"/>
      <c r="K44" s="9"/>
      <c r="L44" s="9"/>
      <c r="M44" s="9"/>
    </row>
    <row r="45" spans="2:14" x14ac:dyDescent="0.2">
      <c r="C45" s="9"/>
      <c r="D45" s="9"/>
      <c r="E45" s="9"/>
      <c r="F45" s="9"/>
      <c r="G45" s="9"/>
      <c r="H45" s="9"/>
      <c r="I45" s="9"/>
      <c r="J45" s="9"/>
      <c r="K45" s="9"/>
      <c r="L45" s="9"/>
      <c r="M45" s="9"/>
    </row>
    <row r="46" spans="2:14" x14ac:dyDescent="0.2">
      <c r="B46" s="378" t="s">
        <v>117</v>
      </c>
      <c r="C46" s="382"/>
      <c r="D46" s="271"/>
      <c r="E46" s="9"/>
      <c r="F46" s="9"/>
      <c r="G46" s="9"/>
      <c r="H46" s="9"/>
      <c r="I46" s="9"/>
      <c r="J46" s="9"/>
      <c r="K46" s="9"/>
      <c r="L46" s="9"/>
      <c r="M46" s="9"/>
    </row>
    <row r="47" spans="2:14" x14ac:dyDescent="0.2">
      <c r="B47" s="12" t="s">
        <v>118</v>
      </c>
      <c r="C47" s="133">
        <f>SUM(J33:N33)+C44</f>
        <v>90705.799817981868</v>
      </c>
      <c r="D47" s="9"/>
      <c r="E47" s="9"/>
      <c r="F47" s="9"/>
      <c r="G47" s="9"/>
      <c r="H47" s="9"/>
      <c r="I47" s="9"/>
      <c r="J47" s="9"/>
      <c r="K47" s="9"/>
      <c r="L47" s="9"/>
      <c r="M47" s="9"/>
    </row>
    <row r="48" spans="2:14" x14ac:dyDescent="0.2">
      <c r="B48" s="12" t="s">
        <v>119</v>
      </c>
      <c r="C48" s="125">
        <f>WACC!B3</f>
        <v>18520.29637</v>
      </c>
      <c r="E48" s="9"/>
      <c r="F48" s="9"/>
      <c r="G48" s="9"/>
      <c r="H48" s="9"/>
      <c r="I48" s="9"/>
      <c r="J48" s="9"/>
      <c r="K48" s="9"/>
      <c r="L48" s="9"/>
      <c r="M48" s="9"/>
    </row>
    <row r="49" spans="2:14" x14ac:dyDescent="0.2">
      <c r="B49" s="12" t="s">
        <v>120</v>
      </c>
      <c r="C49" s="125">
        <f>'Balance Sheet'!G11</f>
        <v>2404</v>
      </c>
      <c r="D49" s="9"/>
      <c r="E49" s="9"/>
      <c r="F49" s="9"/>
      <c r="G49" s="9"/>
      <c r="H49" s="9"/>
      <c r="I49" s="9"/>
      <c r="J49" s="9"/>
      <c r="K49" s="9"/>
      <c r="L49" s="9"/>
      <c r="M49" s="9"/>
    </row>
    <row r="50" spans="2:14" x14ac:dyDescent="0.2">
      <c r="B50" s="12"/>
      <c r="C50" s="16"/>
      <c r="D50" s="9"/>
      <c r="E50" s="9"/>
      <c r="F50" s="9"/>
      <c r="G50" s="9"/>
      <c r="H50" s="9"/>
      <c r="I50" s="9"/>
      <c r="J50" s="9"/>
      <c r="K50" s="9"/>
      <c r="L50" s="9"/>
      <c r="M50" s="9"/>
    </row>
    <row r="51" spans="2:14" x14ac:dyDescent="0.2">
      <c r="B51" s="12" t="s">
        <v>121</v>
      </c>
      <c r="C51" s="125">
        <f>C47-C48+C49</f>
        <v>74589.503447981871</v>
      </c>
      <c r="D51" s="9"/>
      <c r="E51" s="9"/>
      <c r="F51" s="9"/>
      <c r="G51" s="9"/>
      <c r="H51" s="9"/>
      <c r="I51" s="9"/>
      <c r="J51" s="9"/>
      <c r="K51" s="9"/>
      <c r="L51" s="9"/>
      <c r="M51" s="9"/>
    </row>
    <row r="52" spans="2:14" x14ac:dyDescent="0.2">
      <c r="B52" s="12" t="s">
        <v>122</v>
      </c>
      <c r="C52" s="125">
        <f>Comparables!G8</f>
        <v>284.77108800000002</v>
      </c>
      <c r="D52" s="9"/>
      <c r="E52" s="9"/>
      <c r="F52" s="9"/>
      <c r="G52" s="9"/>
      <c r="H52" s="9"/>
      <c r="I52" s="9"/>
      <c r="J52" s="9"/>
      <c r="K52" s="9"/>
      <c r="L52" s="9"/>
      <c r="M52" s="9"/>
    </row>
    <row r="53" spans="2:14" x14ac:dyDescent="0.2">
      <c r="B53" s="13" t="s">
        <v>117</v>
      </c>
      <c r="C53" s="20">
        <f>C51/C52</f>
        <v>261.92793647640895</v>
      </c>
      <c r="D53" s="9"/>
      <c r="E53" s="9"/>
      <c r="F53" s="9"/>
      <c r="G53" s="9"/>
      <c r="H53" s="9"/>
      <c r="I53" s="9"/>
      <c r="J53" s="9"/>
      <c r="K53" s="9"/>
      <c r="L53" s="9"/>
      <c r="M53" s="9"/>
    </row>
    <row r="54" spans="2:14" x14ac:dyDescent="0.2">
      <c r="B54" s="148" t="s">
        <v>123</v>
      </c>
      <c r="C54" s="253"/>
      <c r="D54" s="9"/>
      <c r="E54" s="9"/>
      <c r="F54" s="9"/>
      <c r="G54" s="9"/>
      <c r="H54" s="9"/>
      <c r="I54" s="9"/>
      <c r="J54" s="9"/>
      <c r="K54" s="9"/>
      <c r="L54" s="9"/>
      <c r="M54" s="9"/>
    </row>
    <row r="55" spans="2:14" x14ac:dyDescent="0.2">
      <c r="B55" s="12" t="s">
        <v>124</v>
      </c>
      <c r="C55" s="125">
        <f>J31/(1+C11)^(249/365)+K31/(1+C11)^(1+249/365)+L31/(1+C11)^(2+249/365)+M31/(1+C11)^(3+249/365)+N31/(1+C11)^(4+249/365)+C43/(1+C11)^(4+249/365)</f>
        <v>92204.090165244503</v>
      </c>
      <c r="D55" s="249" t="s">
        <v>125</v>
      </c>
      <c r="E55" s="9"/>
      <c r="F55" s="9"/>
      <c r="G55" s="9"/>
      <c r="H55" s="9"/>
      <c r="I55" s="9"/>
      <c r="J55" s="9"/>
      <c r="K55" s="9"/>
      <c r="L55" s="9"/>
      <c r="M55" s="9"/>
    </row>
    <row r="56" spans="2:14" x14ac:dyDescent="0.2">
      <c r="B56" s="12" t="s">
        <v>126</v>
      </c>
      <c r="C56" s="125">
        <f>C55-C48+C49</f>
        <v>76087.793795244506</v>
      </c>
      <c r="D56" s="249" t="s">
        <v>127</v>
      </c>
      <c r="E56" s="9"/>
      <c r="F56" s="9"/>
      <c r="G56" s="9"/>
      <c r="H56" s="9"/>
      <c r="I56" s="9"/>
      <c r="J56" s="9"/>
      <c r="K56" s="9"/>
      <c r="L56" s="9"/>
      <c r="M56" s="9"/>
    </row>
    <row r="57" spans="2:14" x14ac:dyDescent="0.2">
      <c r="B57" s="12" t="s">
        <v>122</v>
      </c>
      <c r="C57" s="16">
        <v>284.77</v>
      </c>
      <c r="D57" s="9"/>
      <c r="E57" s="9"/>
      <c r="F57" s="9"/>
      <c r="G57" s="9"/>
      <c r="H57" s="9"/>
      <c r="I57" s="9"/>
      <c r="J57" s="9"/>
      <c r="K57" s="9"/>
      <c r="L57" s="9"/>
      <c r="M57" s="9"/>
    </row>
    <row r="58" spans="2:14" x14ac:dyDescent="0.2">
      <c r="B58" s="13" t="s">
        <v>128</v>
      </c>
      <c r="C58" s="20">
        <f>C56/C57</f>
        <v>267.1903423648717</v>
      </c>
      <c r="D58" s="9"/>
      <c r="E58" s="9"/>
      <c r="F58" s="9"/>
      <c r="G58" s="9"/>
      <c r="H58" s="9"/>
      <c r="I58" s="9"/>
      <c r="J58" s="9"/>
      <c r="K58" s="9"/>
      <c r="L58" s="9"/>
      <c r="M58" s="9"/>
    </row>
    <row r="59" spans="2:14" x14ac:dyDescent="0.2">
      <c r="B59" s="13" t="s">
        <v>129</v>
      </c>
      <c r="C59" s="20">
        <v>252.72</v>
      </c>
      <c r="D59" s="9"/>
      <c r="E59" s="9"/>
      <c r="F59" s="9"/>
      <c r="G59" s="9"/>
      <c r="H59" s="9"/>
      <c r="I59" s="9"/>
      <c r="J59" s="9"/>
      <c r="K59" s="9"/>
      <c r="L59" s="9"/>
      <c r="M59" s="9"/>
    </row>
    <row r="60" spans="2:14" x14ac:dyDescent="0.2">
      <c r="B60" s="150" t="s">
        <v>130</v>
      </c>
      <c r="C60" s="266">
        <f>C59-C58</f>
        <v>-14.470342364871698</v>
      </c>
      <c r="D60" s="9"/>
      <c r="E60" s="9"/>
      <c r="F60" s="9"/>
      <c r="G60" s="9"/>
      <c r="H60" s="9"/>
      <c r="I60" s="9"/>
      <c r="J60" s="9"/>
      <c r="K60" s="9"/>
      <c r="L60" s="9"/>
      <c r="M60" s="9"/>
    </row>
    <row r="61" spans="2:14" x14ac:dyDescent="0.2">
      <c r="B61" s="17"/>
      <c r="C61" s="263"/>
      <c r="D61" s="9"/>
      <c r="E61" s="9"/>
      <c r="F61" s="9"/>
      <c r="G61" s="9"/>
      <c r="H61" s="9"/>
      <c r="I61" s="9"/>
      <c r="J61" s="9"/>
      <c r="K61" s="9"/>
      <c r="L61" s="9"/>
      <c r="M61" s="9"/>
    </row>
    <row r="62" spans="2:14" x14ac:dyDescent="0.2">
      <c r="C62" s="9"/>
      <c r="D62" s="9"/>
      <c r="E62" s="9"/>
      <c r="F62" s="9"/>
      <c r="G62" s="9"/>
      <c r="H62" s="9"/>
      <c r="I62" s="9"/>
      <c r="J62" s="9"/>
      <c r="K62" s="9"/>
      <c r="L62" s="9"/>
      <c r="M62" s="9"/>
    </row>
    <row r="63" spans="2:14" x14ac:dyDescent="0.2">
      <c r="B63" s="8" t="s">
        <v>131</v>
      </c>
      <c r="C63" s="8"/>
      <c r="D63" s="8"/>
      <c r="E63" s="8"/>
      <c r="F63" s="8"/>
      <c r="G63" s="8"/>
      <c r="H63" s="8"/>
      <c r="I63" s="8"/>
      <c r="J63" s="8"/>
      <c r="K63" s="8"/>
      <c r="L63" s="8"/>
      <c r="M63" s="8"/>
      <c r="N63" s="8"/>
    </row>
    <row r="64" spans="2:14" x14ac:dyDescent="0.2">
      <c r="C64" s="9"/>
      <c r="D64" s="9"/>
      <c r="E64" s="9"/>
      <c r="F64" s="9"/>
      <c r="G64" s="9"/>
      <c r="H64" s="9"/>
      <c r="I64" s="9"/>
      <c r="J64" s="9"/>
      <c r="K64" s="9"/>
      <c r="L64" s="9"/>
      <c r="M64" s="9"/>
    </row>
    <row r="65" spans="2:13" x14ac:dyDescent="0.2">
      <c r="B65" s="378" t="s">
        <v>132</v>
      </c>
      <c r="C65" s="382"/>
      <c r="D65" s="9"/>
      <c r="E65" s="9"/>
      <c r="F65" s="9"/>
      <c r="G65" s="9"/>
      <c r="H65" s="9"/>
      <c r="I65" s="9"/>
      <c r="J65" s="9"/>
      <c r="K65" s="9"/>
      <c r="L65" s="9"/>
      <c r="M65" s="9"/>
    </row>
    <row r="66" spans="2:13" x14ac:dyDescent="0.2">
      <c r="B66" s="12" t="s">
        <v>133</v>
      </c>
      <c r="C66" s="261">
        <f>Comparables!F30</f>
        <v>45.642508999999997</v>
      </c>
      <c r="D66" s="9"/>
      <c r="E66" s="9"/>
      <c r="F66" s="9"/>
      <c r="G66" s="9"/>
      <c r="H66" s="9"/>
      <c r="I66" s="9"/>
      <c r="J66" s="9"/>
      <c r="K66" s="9"/>
      <c r="L66" s="9"/>
      <c r="M66" s="9"/>
    </row>
    <row r="67" spans="2:13" x14ac:dyDescent="0.2">
      <c r="B67" s="12" t="s">
        <v>134</v>
      </c>
      <c r="C67" s="267">
        <f>'Income Statement'!G52</f>
        <v>2002</v>
      </c>
      <c r="D67" s="9"/>
      <c r="E67" s="9"/>
      <c r="F67" s="9"/>
      <c r="G67" s="9"/>
      <c r="H67" s="9"/>
      <c r="I67" s="9"/>
      <c r="J67" s="9"/>
      <c r="K67" s="9"/>
      <c r="L67" s="9"/>
      <c r="M67" s="9"/>
    </row>
    <row r="68" spans="2:13" x14ac:dyDescent="0.2">
      <c r="B68" s="12" t="s">
        <v>135</v>
      </c>
      <c r="C68" s="267">
        <f>C66*C67</f>
        <v>91376.303017999991</v>
      </c>
      <c r="D68" s="9"/>
      <c r="E68" s="9"/>
      <c r="F68" s="9"/>
      <c r="G68" s="9"/>
      <c r="H68" s="9"/>
      <c r="I68" s="9"/>
      <c r="J68" s="9"/>
      <c r="K68" s="9"/>
      <c r="L68" s="9"/>
      <c r="M68" s="9"/>
    </row>
    <row r="69" spans="2:13" x14ac:dyDescent="0.2">
      <c r="B69" s="12" t="s">
        <v>136</v>
      </c>
      <c r="C69" s="267">
        <f>Comparables!G8</f>
        <v>284.77108800000002</v>
      </c>
      <c r="D69" s="249"/>
      <c r="E69" s="9"/>
      <c r="F69" s="9"/>
      <c r="G69" s="9"/>
      <c r="H69" s="9"/>
      <c r="I69" s="9"/>
      <c r="J69" s="9"/>
      <c r="K69" s="9"/>
      <c r="L69" s="9"/>
      <c r="M69" s="9"/>
    </row>
    <row r="70" spans="2:13" x14ac:dyDescent="0.2">
      <c r="B70" s="255" t="s">
        <v>137</v>
      </c>
      <c r="C70" s="256">
        <f>C68/C69</f>
        <v>320.87633495293591</v>
      </c>
      <c r="D70" s="9"/>
      <c r="E70" s="9"/>
      <c r="F70" s="21"/>
      <c r="G70" s="9"/>
      <c r="H70" s="9"/>
      <c r="I70" s="9"/>
      <c r="J70" s="9"/>
      <c r="K70" s="9"/>
      <c r="L70" s="9"/>
      <c r="M70" s="9"/>
    </row>
    <row r="71" spans="2:13" x14ac:dyDescent="0.2">
      <c r="B71" s="12" t="s">
        <v>138</v>
      </c>
      <c r="C71" s="257">
        <v>252.7</v>
      </c>
    </row>
    <row r="72" spans="2:13" x14ac:dyDescent="0.2">
      <c r="B72" s="66" t="s">
        <v>139</v>
      </c>
      <c r="C72" s="258">
        <f>C71-C70</f>
        <v>-68.176334952935917</v>
      </c>
    </row>
    <row r="74" spans="2:13" x14ac:dyDescent="0.2">
      <c r="B74" s="383" t="s">
        <v>140</v>
      </c>
      <c r="C74" s="383"/>
    </row>
    <row r="75" spans="2:13" x14ac:dyDescent="0.2">
      <c r="B75" s="12" t="s">
        <v>141</v>
      </c>
      <c r="C75" s="257">
        <f>Comparables!L16</f>
        <v>34.408529999999999</v>
      </c>
    </row>
    <row r="76" spans="2:13" x14ac:dyDescent="0.2">
      <c r="B76" s="12" t="s">
        <v>142</v>
      </c>
      <c r="C76" s="149">
        <f>Comparables!J8</f>
        <v>2815</v>
      </c>
    </row>
    <row r="77" spans="2:13" x14ac:dyDescent="0.2">
      <c r="B77" s="12" t="s">
        <v>118</v>
      </c>
      <c r="C77" s="149">
        <f>C75*C76</f>
        <v>96860.01195</v>
      </c>
    </row>
    <row r="78" spans="2:13" x14ac:dyDescent="0.2">
      <c r="B78" s="12" t="s">
        <v>136</v>
      </c>
      <c r="C78" s="149">
        <f>Comparables!G8</f>
        <v>284.77108800000002</v>
      </c>
    </row>
    <row r="79" spans="2:13" x14ac:dyDescent="0.2">
      <c r="B79" s="259" t="s">
        <v>137</v>
      </c>
      <c r="C79" s="260">
        <f>C77/C78</f>
        <v>340.13288578649525</v>
      </c>
    </row>
    <row r="80" spans="2:13" x14ac:dyDescent="0.2">
      <c r="B80" s="12" t="s">
        <v>138</v>
      </c>
      <c r="C80" s="257">
        <v>252.7</v>
      </c>
    </row>
    <row r="81" spans="2:14" x14ac:dyDescent="0.2">
      <c r="B81" s="66" t="s">
        <v>139</v>
      </c>
      <c r="C81" s="258">
        <f>C80-C79</f>
        <v>-87.432885786495262</v>
      </c>
    </row>
    <row r="82" spans="2:14" x14ac:dyDescent="0.2">
      <c r="C82" s="254"/>
    </row>
    <row r="83" spans="2:14" x14ac:dyDescent="0.2">
      <c r="B83" s="380" t="s">
        <v>143</v>
      </c>
      <c r="C83" s="381"/>
    </row>
    <row r="84" spans="2:14" x14ac:dyDescent="0.2">
      <c r="B84" s="262" t="s">
        <v>144</v>
      </c>
      <c r="C84" s="268">
        <f>AVERAGE(C70,C79)</f>
        <v>330.50461036971558</v>
      </c>
    </row>
    <row r="85" spans="2:14" x14ac:dyDescent="0.2">
      <c r="B85" s="12" t="s">
        <v>138</v>
      </c>
      <c r="C85" s="269">
        <v>252.7</v>
      </c>
    </row>
    <row r="86" spans="2:14" x14ac:dyDescent="0.2">
      <c r="B86" s="66" t="s">
        <v>139</v>
      </c>
      <c r="C86" s="270">
        <f>C85-C84</f>
        <v>-77.80461036971559</v>
      </c>
    </row>
    <row r="89" spans="2:14" x14ac:dyDescent="0.2">
      <c r="B89" s="8" t="s">
        <v>145</v>
      </c>
      <c r="C89" s="8"/>
      <c r="D89" s="8"/>
      <c r="E89" s="8"/>
      <c r="F89" s="8"/>
      <c r="G89" s="8"/>
      <c r="H89" s="8"/>
      <c r="I89" s="8"/>
      <c r="J89" s="8"/>
      <c r="K89" s="8"/>
      <c r="L89" s="8"/>
      <c r="M89" s="8"/>
      <c r="N89" s="8"/>
    </row>
    <row r="91" spans="2:14" x14ac:dyDescent="0.2">
      <c r="B91" s="357"/>
      <c r="C91" s="356"/>
      <c r="D91" s="356"/>
      <c r="E91" s="356"/>
      <c r="F91" s="356"/>
      <c r="G91" s="356"/>
      <c r="H91" s="356"/>
      <c r="I91" s="356"/>
      <c r="J91" s="356"/>
      <c r="K91" s="356"/>
    </row>
    <row r="92" spans="2:14" x14ac:dyDescent="0.2">
      <c r="B92" s="348"/>
      <c r="C92" s="348"/>
      <c r="D92" s="348"/>
      <c r="E92" s="348"/>
      <c r="F92" s="348"/>
      <c r="G92" s="348"/>
      <c r="H92" s="348"/>
      <c r="I92" s="348"/>
      <c r="J92" s="348"/>
      <c r="K92" s="356"/>
    </row>
    <row r="93" spans="2:14" x14ac:dyDescent="0.2">
      <c r="B93" s="348"/>
      <c r="C93" s="348"/>
      <c r="D93" s="348"/>
      <c r="E93" s="348"/>
      <c r="F93" s="348"/>
      <c r="G93" s="358" t="s">
        <v>146</v>
      </c>
      <c r="H93" s="348"/>
      <c r="I93" s="348"/>
      <c r="J93" s="348"/>
      <c r="K93" s="356"/>
    </row>
    <row r="94" spans="2:14" x14ac:dyDescent="0.2">
      <c r="B94" s="348"/>
      <c r="C94" s="348"/>
      <c r="D94" s="348"/>
      <c r="E94" s="348"/>
      <c r="F94" s="348"/>
      <c r="G94" s="348"/>
      <c r="H94" s="348"/>
      <c r="I94" s="348"/>
      <c r="J94" s="348"/>
      <c r="K94" s="356"/>
      <c r="L94" s="9"/>
      <c r="M94" s="9"/>
    </row>
    <row r="95" spans="2:14" x14ac:dyDescent="0.2">
      <c r="B95" s="348"/>
      <c r="C95" s="349">
        <v>267.19</v>
      </c>
      <c r="D95" s="350">
        <v>3.7900000000000003E-2</v>
      </c>
      <c r="E95" s="350">
        <v>4.2900000000000001E-2</v>
      </c>
      <c r="F95" s="350">
        <v>4.7899999999999998E-2</v>
      </c>
      <c r="G95" s="350">
        <v>5.2900000000000003E-2</v>
      </c>
      <c r="H95" s="350">
        <v>5.79E-2</v>
      </c>
      <c r="I95" s="350">
        <v>6.2899999999999998E-2</v>
      </c>
      <c r="J95" s="350">
        <v>6.7900000000000002E-2</v>
      </c>
      <c r="K95" s="356"/>
      <c r="L95" s="9"/>
      <c r="M95" s="9"/>
    </row>
    <row r="96" spans="2:14" x14ac:dyDescent="0.2">
      <c r="B96" s="348"/>
      <c r="C96" s="359">
        <v>5.0000000000000001E-3</v>
      </c>
      <c r="D96" s="352">
        <v>283.72000000000003</v>
      </c>
      <c r="E96" s="352">
        <v>239.79</v>
      </c>
      <c r="F96" s="352">
        <v>206.09</v>
      </c>
      <c r="G96" s="352">
        <v>179.41</v>
      </c>
      <c r="H96" s="352">
        <v>157.77000000000001</v>
      </c>
      <c r="I96" s="352">
        <v>139.86000000000001</v>
      </c>
      <c r="J96" s="353">
        <v>124.8</v>
      </c>
      <c r="K96" s="356"/>
      <c r="L96" s="9"/>
      <c r="M96" s="9"/>
    </row>
    <row r="97" spans="2:13" x14ac:dyDescent="0.2">
      <c r="B97" s="348"/>
      <c r="C97" s="359">
        <v>0.01</v>
      </c>
      <c r="D97" s="352">
        <v>336.68</v>
      </c>
      <c r="E97" s="363">
        <v>278.08999999999997</v>
      </c>
      <c r="F97" s="363">
        <v>234.95</v>
      </c>
      <c r="G97" s="363">
        <v>201.85</v>
      </c>
      <c r="H97" s="363">
        <v>175.66</v>
      </c>
      <c r="I97" s="363">
        <v>154.4</v>
      </c>
      <c r="J97" s="353">
        <v>136.82</v>
      </c>
      <c r="K97" s="356"/>
      <c r="L97" s="370"/>
      <c r="M97" s="254"/>
    </row>
    <row r="98" spans="2:13" x14ac:dyDescent="0.2">
      <c r="B98" s="348"/>
      <c r="C98" s="359">
        <v>1.4999999999999999E-2</v>
      </c>
      <c r="D98" s="352">
        <v>412.76</v>
      </c>
      <c r="E98" s="363">
        <v>330.12</v>
      </c>
      <c r="F98" s="363">
        <v>272.58</v>
      </c>
      <c r="G98" s="363">
        <v>230.21</v>
      </c>
      <c r="H98" s="363">
        <v>197.71</v>
      </c>
      <c r="I98" s="363">
        <v>171.98</v>
      </c>
      <c r="J98" s="353">
        <v>151.11000000000001</v>
      </c>
      <c r="K98" s="356"/>
      <c r="L98" s="370"/>
      <c r="M98" s="9"/>
    </row>
    <row r="99" spans="2:13" x14ac:dyDescent="0.2">
      <c r="B99" s="347" t="s">
        <v>147</v>
      </c>
      <c r="C99" s="359">
        <v>0.02</v>
      </c>
      <c r="D99" s="352">
        <v>531.34</v>
      </c>
      <c r="E99" s="363">
        <v>404.87</v>
      </c>
      <c r="F99" s="363">
        <v>323.7</v>
      </c>
      <c r="G99" s="364">
        <v>267.19</v>
      </c>
      <c r="H99" s="363">
        <v>225.58</v>
      </c>
      <c r="I99" s="363">
        <v>193.65</v>
      </c>
      <c r="J99" s="353">
        <v>168.38</v>
      </c>
      <c r="K99" s="356"/>
      <c r="L99" s="370"/>
      <c r="M99" s="254"/>
    </row>
    <row r="100" spans="2:13" x14ac:dyDescent="0.2">
      <c r="B100" s="348"/>
      <c r="C100" s="359">
        <v>2.5000000000000001E-2</v>
      </c>
      <c r="D100" s="352">
        <v>741.83</v>
      </c>
      <c r="E100" s="363">
        <v>521.37</v>
      </c>
      <c r="F100" s="363">
        <v>397.14</v>
      </c>
      <c r="G100" s="363">
        <v>317.42</v>
      </c>
      <c r="H100" s="363">
        <v>261.92</v>
      </c>
      <c r="I100" s="363">
        <v>221.04</v>
      </c>
      <c r="J100" s="353">
        <v>189.68</v>
      </c>
      <c r="K100" s="356"/>
      <c r="L100" s="370"/>
      <c r="M100" s="9"/>
    </row>
    <row r="101" spans="2:13" x14ac:dyDescent="0.2">
      <c r="B101" s="348"/>
      <c r="C101" s="359">
        <v>0.03</v>
      </c>
      <c r="D101" s="352">
        <v>1218.67</v>
      </c>
      <c r="E101" s="363">
        <v>728.16</v>
      </c>
      <c r="F101" s="363">
        <v>511.61</v>
      </c>
      <c r="G101" s="363">
        <v>389.59</v>
      </c>
      <c r="H101" s="363">
        <v>311.27999999999997</v>
      </c>
      <c r="I101" s="363">
        <v>256.76</v>
      </c>
      <c r="J101" s="353">
        <v>216.6</v>
      </c>
      <c r="K101" s="356"/>
      <c r="L101" s="370"/>
      <c r="M101" s="9"/>
    </row>
    <row r="102" spans="2:13" x14ac:dyDescent="0.2">
      <c r="B102" s="348"/>
      <c r="C102" s="359">
        <v>3.5000000000000003E-2</v>
      </c>
      <c r="D102" s="354">
        <v>3338.41</v>
      </c>
      <c r="E102" s="354">
        <v>1196.6400000000001</v>
      </c>
      <c r="F102" s="354">
        <v>714.79</v>
      </c>
      <c r="G102" s="354">
        <v>502.07</v>
      </c>
      <c r="H102" s="354">
        <v>382.2</v>
      </c>
      <c r="I102" s="354">
        <v>305.27</v>
      </c>
      <c r="J102" s="355">
        <v>251.71</v>
      </c>
      <c r="K102" s="356"/>
      <c r="L102" s="370"/>
      <c r="M102" s="9"/>
    </row>
    <row r="103" spans="2:13" x14ac:dyDescent="0.2">
      <c r="B103" s="348"/>
      <c r="C103" s="348"/>
      <c r="D103" s="348"/>
      <c r="E103" s="348"/>
      <c r="F103" s="348"/>
      <c r="G103" s="348"/>
      <c r="H103" s="348"/>
      <c r="I103" s="348"/>
      <c r="J103" s="348"/>
      <c r="K103" s="357"/>
      <c r="L103" s="370"/>
      <c r="M103" s="9"/>
    </row>
    <row r="104" spans="2:13" x14ac:dyDescent="0.2">
      <c r="B104" s="357"/>
      <c r="C104" s="356"/>
      <c r="D104" s="356"/>
      <c r="E104" s="356"/>
      <c r="F104" s="356"/>
      <c r="G104" s="356"/>
      <c r="H104" s="356"/>
      <c r="I104" s="356"/>
      <c r="J104" s="356"/>
      <c r="K104" s="357"/>
      <c r="L104" s="370"/>
      <c r="M104" s="9"/>
    </row>
    <row r="105" spans="2:13" x14ac:dyDescent="0.2">
      <c r="B105" s="357"/>
      <c r="C105" s="356"/>
      <c r="D105" s="356"/>
      <c r="E105" s="356"/>
      <c r="F105" s="356"/>
      <c r="G105" s="356"/>
      <c r="H105" s="356"/>
      <c r="I105" s="356"/>
      <c r="J105" s="356"/>
      <c r="K105" s="357"/>
      <c r="L105" s="370"/>
      <c r="M105" s="9"/>
    </row>
    <row r="106" spans="2:13" x14ac:dyDescent="0.2">
      <c r="B106" s="348"/>
      <c r="C106" s="348"/>
      <c r="D106" s="348"/>
      <c r="E106" s="348"/>
      <c r="F106" s="348"/>
      <c r="G106" s="358" t="s">
        <v>91</v>
      </c>
      <c r="H106" s="348"/>
      <c r="I106" s="348"/>
      <c r="J106" s="348"/>
      <c r="K106" s="357"/>
      <c r="L106" s="370"/>
      <c r="M106" s="9"/>
    </row>
    <row r="107" spans="2:13" x14ac:dyDescent="0.2">
      <c r="B107" s="348"/>
      <c r="C107" s="348"/>
      <c r="D107" s="348"/>
      <c r="E107" s="348"/>
      <c r="F107" s="348"/>
      <c r="G107" s="348"/>
      <c r="H107" s="348"/>
      <c r="I107" s="348"/>
      <c r="J107" s="348"/>
      <c r="K107" s="357"/>
      <c r="L107" s="370"/>
      <c r="M107" s="9"/>
    </row>
    <row r="108" spans="2:13" x14ac:dyDescent="0.2">
      <c r="B108" s="348"/>
      <c r="C108" s="360">
        <v>267.19</v>
      </c>
      <c r="D108" s="361">
        <v>4.6300000000000001E-2</v>
      </c>
      <c r="E108" s="361">
        <v>5.1299999999999998E-2</v>
      </c>
      <c r="F108" s="361">
        <v>5.6300000000000003E-2</v>
      </c>
      <c r="G108" s="361">
        <v>6.13E-2</v>
      </c>
      <c r="H108" s="361">
        <v>6.6299999999999998E-2</v>
      </c>
      <c r="I108" s="361">
        <v>7.1300000000000002E-2</v>
      </c>
      <c r="J108" s="361">
        <v>7.6300000000000007E-2</v>
      </c>
      <c r="K108" s="357"/>
      <c r="L108" s="370"/>
      <c r="M108" s="9"/>
    </row>
    <row r="109" spans="2:13" x14ac:dyDescent="0.2">
      <c r="B109" s="348"/>
      <c r="C109" s="362">
        <v>9.1000000000000004E-3</v>
      </c>
      <c r="D109" s="352">
        <v>511.76</v>
      </c>
      <c r="E109" s="352">
        <v>412.26</v>
      </c>
      <c r="F109" s="352">
        <v>342.78</v>
      </c>
      <c r="G109" s="352">
        <v>291.52</v>
      </c>
      <c r="H109" s="352">
        <v>252.13</v>
      </c>
      <c r="I109" s="352">
        <v>220.92</v>
      </c>
      <c r="J109" s="353">
        <v>195.58</v>
      </c>
      <c r="K109" s="357"/>
      <c r="L109" s="370"/>
      <c r="M109" s="9"/>
    </row>
    <row r="110" spans="2:13" x14ac:dyDescent="0.2">
      <c r="B110" s="348"/>
      <c r="C110" s="362">
        <v>1.41E-2</v>
      </c>
      <c r="D110" s="352">
        <v>489</v>
      </c>
      <c r="E110" s="363">
        <v>396.76</v>
      </c>
      <c r="F110" s="363">
        <v>331.55</v>
      </c>
      <c r="G110" s="363">
        <v>283</v>
      </c>
      <c r="H110" s="363">
        <v>245.46</v>
      </c>
      <c r="I110" s="363">
        <v>215.55</v>
      </c>
      <c r="J110" s="353">
        <v>191.16</v>
      </c>
      <c r="K110" s="357"/>
      <c r="L110" s="370"/>
      <c r="M110" s="254"/>
    </row>
    <row r="111" spans="2:13" x14ac:dyDescent="0.2">
      <c r="B111" s="348"/>
      <c r="C111" s="362">
        <v>1.9099999999999999E-2</v>
      </c>
      <c r="D111" s="352">
        <v>468.02</v>
      </c>
      <c r="E111" s="363">
        <v>382.26</v>
      </c>
      <c r="F111" s="363">
        <v>320.94</v>
      </c>
      <c r="G111" s="363">
        <v>274.89999999999998</v>
      </c>
      <c r="H111" s="363">
        <v>239.07</v>
      </c>
      <c r="I111" s="363">
        <v>210.38</v>
      </c>
      <c r="J111" s="353">
        <v>186.89</v>
      </c>
      <c r="K111" s="357"/>
      <c r="L111" s="370"/>
      <c r="M111" s="9"/>
    </row>
    <row r="112" spans="2:13" x14ac:dyDescent="0.2">
      <c r="B112" s="347" t="s">
        <v>148</v>
      </c>
      <c r="C112" s="362">
        <v>2.41E-2</v>
      </c>
      <c r="D112" s="352">
        <v>448.61</v>
      </c>
      <c r="E112" s="363">
        <v>368.69</v>
      </c>
      <c r="F112" s="363">
        <v>310.91000000000003</v>
      </c>
      <c r="G112" s="364">
        <v>267.19</v>
      </c>
      <c r="H112" s="363">
        <v>232.95</v>
      </c>
      <c r="I112" s="363">
        <v>205.41</v>
      </c>
      <c r="J112" s="353">
        <v>182.78</v>
      </c>
      <c r="K112" s="357"/>
      <c r="L112" s="370"/>
      <c r="M112" s="254"/>
    </row>
    <row r="113" spans="2:13" x14ac:dyDescent="0.2">
      <c r="B113" s="348"/>
      <c r="C113" s="362">
        <v>2.9100000000000001E-2</v>
      </c>
      <c r="D113" s="352">
        <v>430.61</v>
      </c>
      <c r="E113" s="363">
        <v>355.94</v>
      </c>
      <c r="F113" s="363">
        <v>301.41000000000003</v>
      </c>
      <c r="G113" s="363">
        <v>259.83999999999997</v>
      </c>
      <c r="H113" s="363">
        <v>227.09</v>
      </c>
      <c r="I113" s="363">
        <v>200.63</v>
      </c>
      <c r="J113" s="353">
        <v>178.81</v>
      </c>
      <c r="K113" s="357"/>
      <c r="L113" s="370"/>
      <c r="M113" s="9"/>
    </row>
    <row r="114" spans="2:13" x14ac:dyDescent="0.2">
      <c r="B114" s="348"/>
      <c r="C114" s="362">
        <v>3.4099999999999998E-2</v>
      </c>
      <c r="D114" s="352">
        <v>413.87</v>
      </c>
      <c r="E114" s="363">
        <v>343.95</v>
      </c>
      <c r="F114" s="363">
        <v>292.39999999999998</v>
      </c>
      <c r="G114" s="363">
        <v>252.82</v>
      </c>
      <c r="H114" s="363">
        <v>221.47</v>
      </c>
      <c r="I114" s="363">
        <v>196.03</v>
      </c>
      <c r="J114" s="353">
        <v>174.97</v>
      </c>
      <c r="K114" s="357"/>
      <c r="L114" s="370"/>
      <c r="M114" s="9"/>
    </row>
    <row r="115" spans="2:13" x14ac:dyDescent="0.2">
      <c r="B115" s="348"/>
      <c r="C115" s="362">
        <v>3.9100000000000003E-2</v>
      </c>
      <c r="D115" s="354">
        <v>398.26</v>
      </c>
      <c r="E115" s="354">
        <v>332.64</v>
      </c>
      <c r="F115" s="354">
        <v>283.83999999999997</v>
      </c>
      <c r="G115" s="354">
        <v>246.11</v>
      </c>
      <c r="H115" s="354">
        <v>216.08</v>
      </c>
      <c r="I115" s="354">
        <v>191.59</v>
      </c>
      <c r="J115" s="355">
        <v>171.26</v>
      </c>
      <c r="K115" s="357"/>
      <c r="L115" s="370"/>
      <c r="M115" s="9"/>
    </row>
    <row r="116" spans="2:13" x14ac:dyDescent="0.2">
      <c r="B116" s="357"/>
      <c r="C116" s="356"/>
      <c r="D116" s="356"/>
      <c r="E116" s="356"/>
      <c r="F116" s="356"/>
      <c r="G116" s="356"/>
      <c r="H116" s="356"/>
      <c r="I116" s="356"/>
      <c r="J116" s="356"/>
      <c r="K116" s="357"/>
      <c r="L116" s="370"/>
      <c r="M116" s="9"/>
    </row>
    <row r="117" spans="2:13" x14ac:dyDescent="0.2">
      <c r="B117" s="357"/>
      <c r="C117" s="356"/>
      <c r="D117" s="356"/>
      <c r="E117" s="356"/>
      <c r="F117" s="356"/>
      <c r="G117" s="356"/>
      <c r="H117" s="356"/>
      <c r="I117" s="356"/>
      <c r="J117" s="356"/>
      <c r="K117" s="357"/>
      <c r="L117" s="370"/>
      <c r="M117" s="9"/>
    </row>
    <row r="118" spans="2:13" x14ac:dyDescent="0.2">
      <c r="B118" s="357"/>
      <c r="C118" s="356"/>
      <c r="D118" s="356"/>
      <c r="E118" s="356"/>
      <c r="F118" s="356"/>
      <c r="G118" s="356"/>
      <c r="H118" s="356"/>
      <c r="I118" s="356"/>
      <c r="J118" s="356"/>
      <c r="K118" s="357"/>
      <c r="L118" s="370"/>
      <c r="M118" s="9"/>
    </row>
    <row r="119" spans="2:13" x14ac:dyDescent="0.2">
      <c r="B119" s="348"/>
      <c r="C119" s="348"/>
      <c r="D119" s="348"/>
      <c r="E119" s="348"/>
      <c r="F119" s="348"/>
      <c r="G119" s="358" t="s">
        <v>147</v>
      </c>
      <c r="H119" s="348"/>
      <c r="I119" s="348"/>
      <c r="J119" s="348"/>
      <c r="K119" s="357"/>
      <c r="L119" s="370"/>
      <c r="M119" s="9"/>
    </row>
    <row r="120" spans="2:13" x14ac:dyDescent="0.2">
      <c r="B120" s="348"/>
      <c r="C120" s="348"/>
      <c r="D120" s="348"/>
      <c r="E120" s="348"/>
      <c r="F120" s="348"/>
      <c r="G120" s="348"/>
      <c r="H120" s="348"/>
      <c r="I120" s="348"/>
      <c r="J120" s="348"/>
      <c r="K120" s="356"/>
      <c r="L120" s="370"/>
    </row>
    <row r="121" spans="2:13" x14ac:dyDescent="0.2">
      <c r="B121" s="348"/>
      <c r="C121" s="349">
        <v>267.19</v>
      </c>
      <c r="D121" s="350">
        <v>5.0000000000000001E-3</v>
      </c>
      <c r="E121" s="350">
        <v>0.01</v>
      </c>
      <c r="F121" s="350">
        <v>1.4999999999999999E-2</v>
      </c>
      <c r="G121" s="350">
        <v>0.02</v>
      </c>
      <c r="H121" s="350">
        <v>2.5000000000000001E-2</v>
      </c>
      <c r="I121" s="350">
        <v>0.03</v>
      </c>
      <c r="J121" s="350">
        <v>3.5000000000000003E-2</v>
      </c>
      <c r="K121" s="356"/>
      <c r="L121" s="370"/>
    </row>
    <row r="122" spans="2:13" x14ac:dyDescent="0.2">
      <c r="B122" s="348"/>
      <c r="C122" s="351">
        <v>0.36</v>
      </c>
      <c r="D122" s="352">
        <v>182.9</v>
      </c>
      <c r="E122" s="352">
        <v>206.13</v>
      </c>
      <c r="F122" s="352">
        <v>235.6</v>
      </c>
      <c r="G122" s="352">
        <v>274.24</v>
      </c>
      <c r="H122" s="352">
        <v>327.08</v>
      </c>
      <c r="I122" s="352">
        <v>403.75</v>
      </c>
      <c r="J122" s="353">
        <v>525.04</v>
      </c>
      <c r="K122" s="356"/>
      <c r="L122" s="370"/>
    </row>
    <row r="123" spans="2:13" x14ac:dyDescent="0.2">
      <c r="B123" s="348"/>
      <c r="C123" s="351">
        <v>0.31</v>
      </c>
      <c r="D123" s="352">
        <v>181.72</v>
      </c>
      <c r="E123" s="363">
        <v>204.69</v>
      </c>
      <c r="F123" s="363">
        <v>233.78</v>
      </c>
      <c r="G123" s="363">
        <v>271.85000000000002</v>
      </c>
      <c r="H123" s="363">
        <v>323.81</v>
      </c>
      <c r="I123" s="363">
        <v>398.93</v>
      </c>
      <c r="J123" s="353">
        <v>517.16999999999996</v>
      </c>
      <c r="K123" s="356"/>
      <c r="L123" s="370"/>
      <c r="M123" s="254"/>
    </row>
    <row r="124" spans="2:13" x14ac:dyDescent="0.2">
      <c r="B124" s="347" t="s">
        <v>149</v>
      </c>
      <c r="C124" s="351">
        <v>0.26</v>
      </c>
      <c r="D124" s="352">
        <v>180.56</v>
      </c>
      <c r="E124" s="363">
        <v>203.26</v>
      </c>
      <c r="F124" s="363">
        <v>231.99</v>
      </c>
      <c r="G124" s="363">
        <v>269.5</v>
      </c>
      <c r="H124" s="363">
        <v>320.58999999999997</v>
      </c>
      <c r="I124" s="363">
        <v>394.21</v>
      </c>
      <c r="J124" s="353">
        <v>509.52</v>
      </c>
      <c r="K124" s="356"/>
      <c r="L124" s="370"/>
    </row>
    <row r="125" spans="2:13" x14ac:dyDescent="0.2">
      <c r="B125" s="348"/>
      <c r="C125" s="351">
        <v>0.21</v>
      </c>
      <c r="D125" s="352">
        <v>179.41</v>
      </c>
      <c r="E125" s="363">
        <v>201.85</v>
      </c>
      <c r="F125" s="363">
        <v>230.21</v>
      </c>
      <c r="G125" s="364">
        <v>267.19</v>
      </c>
      <c r="H125" s="363">
        <v>317.42</v>
      </c>
      <c r="I125" s="363">
        <v>389.59</v>
      </c>
      <c r="J125" s="353">
        <v>502.07</v>
      </c>
      <c r="K125" s="356"/>
      <c r="L125" s="370"/>
      <c r="M125" s="254"/>
    </row>
    <row r="126" spans="2:13" x14ac:dyDescent="0.2">
      <c r="B126" s="348"/>
      <c r="C126" s="351">
        <v>0.16</v>
      </c>
      <c r="D126" s="352">
        <v>178.27</v>
      </c>
      <c r="E126" s="363">
        <v>200.46</v>
      </c>
      <c r="F126" s="363">
        <v>228.46</v>
      </c>
      <c r="G126" s="363">
        <v>264.91000000000003</v>
      </c>
      <c r="H126" s="363">
        <v>314.31</v>
      </c>
      <c r="I126" s="363">
        <v>385.06</v>
      </c>
      <c r="J126" s="353">
        <v>494.81</v>
      </c>
      <c r="K126" s="356"/>
      <c r="L126" s="370"/>
    </row>
    <row r="127" spans="2:13" x14ac:dyDescent="0.2">
      <c r="B127" s="348"/>
      <c r="C127" s="351">
        <v>0.11</v>
      </c>
      <c r="D127" s="352">
        <v>177.14</v>
      </c>
      <c r="E127" s="363">
        <v>199.08</v>
      </c>
      <c r="F127" s="363">
        <v>226.73</v>
      </c>
      <c r="G127" s="363">
        <v>262.66000000000003</v>
      </c>
      <c r="H127" s="363">
        <v>311.25</v>
      </c>
      <c r="I127" s="363">
        <v>380.63</v>
      </c>
      <c r="J127" s="353">
        <v>487.75</v>
      </c>
      <c r="K127" s="356"/>
      <c r="L127" s="370"/>
    </row>
    <row r="128" spans="2:13" x14ac:dyDescent="0.2">
      <c r="B128" s="348"/>
      <c r="C128" s="351">
        <v>0.06</v>
      </c>
      <c r="D128" s="354">
        <v>176.03</v>
      </c>
      <c r="E128" s="354">
        <v>197.71</v>
      </c>
      <c r="F128" s="354">
        <v>225.02</v>
      </c>
      <c r="G128" s="354">
        <v>260.44</v>
      </c>
      <c r="H128" s="354">
        <v>308.25</v>
      </c>
      <c r="I128" s="354">
        <v>376.29</v>
      </c>
      <c r="J128" s="355">
        <v>480.87</v>
      </c>
      <c r="K128" s="356"/>
      <c r="L128" s="370"/>
    </row>
    <row r="129" spans="2:11" x14ac:dyDescent="0.2">
      <c r="B129" s="357"/>
      <c r="C129" s="356"/>
      <c r="D129" s="356"/>
      <c r="E129" s="356"/>
      <c r="F129" s="356"/>
      <c r="G129" s="356"/>
      <c r="H129" s="356"/>
      <c r="I129" s="356"/>
      <c r="J129" s="356"/>
      <c r="K129" s="356"/>
    </row>
  </sheetData>
  <mergeCells count="6">
    <mergeCell ref="B83:C83"/>
    <mergeCell ref="B13:C13"/>
    <mergeCell ref="B65:C65"/>
    <mergeCell ref="B38:C38"/>
    <mergeCell ref="B46:C46"/>
    <mergeCell ref="B74:C74"/>
  </mergeCells>
  <dataValidations count="1">
    <dataValidation type="list" allowBlank="1" showInputMessage="1" showErrorMessage="1" sqref="C3" xr:uid="{F806A062-15EE-9740-A398-7EC99A017A51}">
      <formula1>"1,2,3"</formula1>
    </dataValidation>
  </dataValidations>
  <hyperlinks>
    <hyperlink ref="D41" location="'Assumptions Explanation'!A27" display="Assumption 26" xr:uid="{DE3958E1-69C1-C44B-A1C8-08CC19E01AE1}"/>
    <hyperlink ref="D55" location="'Assumptions Explanation'!A28" display="Assumption 27 " xr:uid="{671D4352-2194-2741-89BC-BC26E332743C}"/>
    <hyperlink ref="D56" location="'Assumptions Explanation'!A29" display="Assumption 28" xr:uid="{66546EAB-7FB3-9F4D-9F6F-03DC34A7D9EF}"/>
    <hyperlink ref="D5" location="'Assumptions Explanation'!B30" display="Assumption 29" xr:uid="{D811607F-1DF1-B445-8E69-50817288D1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FF5C-E51E-1A42-B123-BDDFBC402422}">
  <sheetPr codeName="Sheet2"/>
  <dimension ref="A1:O51"/>
  <sheetViews>
    <sheetView showGridLines="0" workbookViewId="0">
      <selection activeCell="M11" sqref="M11"/>
    </sheetView>
  </sheetViews>
  <sheetFormatPr baseColWidth="10" defaultColWidth="11" defaultRowHeight="16" x14ac:dyDescent="0.2"/>
  <cols>
    <col min="1" max="1" width="25" customWidth="1"/>
    <col min="9" max="9" width="13" customWidth="1"/>
  </cols>
  <sheetData>
    <row r="1" spans="1:15" x14ac:dyDescent="0.2">
      <c r="A1" s="155"/>
    </row>
    <row r="2" spans="1:15" x14ac:dyDescent="0.2">
      <c r="A2" s="156"/>
    </row>
    <row r="3" spans="1:15" x14ac:dyDescent="0.2">
      <c r="A3" s="155" t="s">
        <v>340</v>
      </c>
      <c r="E3" s="369" t="s">
        <v>127</v>
      </c>
      <c r="F3" s="369"/>
    </row>
    <row r="4" spans="1:15" x14ac:dyDescent="0.2">
      <c r="A4" s="155" t="s">
        <v>341</v>
      </c>
    </row>
    <row r="5" spans="1:15" x14ac:dyDescent="0.2">
      <c r="A5" s="236"/>
      <c r="B5" s="236"/>
      <c r="C5" s="236"/>
      <c r="D5" s="236" t="s">
        <v>342</v>
      </c>
      <c r="E5" s="236"/>
      <c r="F5" s="236"/>
      <c r="G5" s="236"/>
      <c r="H5" s="236"/>
      <c r="I5" s="236" t="s">
        <v>343</v>
      </c>
      <c r="J5" s="236"/>
      <c r="K5" s="236"/>
      <c r="L5" s="236" t="s">
        <v>344</v>
      </c>
      <c r="M5" s="236"/>
    </row>
    <row r="6" spans="1:15" x14ac:dyDescent="0.2">
      <c r="A6" s="236" t="s">
        <v>345</v>
      </c>
      <c r="B6" s="236"/>
      <c r="C6" s="236" t="s">
        <v>346</v>
      </c>
      <c r="D6" s="236"/>
      <c r="E6" s="236"/>
      <c r="F6" s="236"/>
      <c r="G6" s="236" t="s">
        <v>347</v>
      </c>
      <c r="H6" s="236" t="s">
        <v>347</v>
      </c>
      <c r="I6" s="236"/>
      <c r="J6" s="236"/>
      <c r="K6" s="236"/>
      <c r="L6" s="236" t="s">
        <v>348</v>
      </c>
      <c r="M6" s="236" t="s">
        <v>348</v>
      </c>
    </row>
    <row r="7" spans="1:15" x14ac:dyDescent="0.2">
      <c r="A7" s="236" t="s">
        <v>349</v>
      </c>
      <c r="B7" s="236" t="s">
        <v>350</v>
      </c>
      <c r="C7" s="236" t="s">
        <v>351</v>
      </c>
      <c r="D7" s="236" t="s">
        <v>352</v>
      </c>
      <c r="E7" s="236" t="s">
        <v>353</v>
      </c>
      <c r="F7" s="236" t="s">
        <v>354</v>
      </c>
      <c r="G7" s="236" t="s">
        <v>355</v>
      </c>
      <c r="H7" s="236" t="s">
        <v>356</v>
      </c>
      <c r="I7" s="236" t="s">
        <v>357</v>
      </c>
      <c r="J7" s="236" t="s">
        <v>358</v>
      </c>
      <c r="K7" s="236" t="s">
        <v>359</v>
      </c>
      <c r="L7" s="236" t="s">
        <v>101</v>
      </c>
      <c r="M7" s="236" t="s">
        <v>213</v>
      </c>
      <c r="O7" s="244"/>
    </row>
    <row r="8" spans="1:15" x14ac:dyDescent="0.2">
      <c r="A8" s="1" t="s">
        <v>360</v>
      </c>
      <c r="B8" s="1" t="s">
        <v>327</v>
      </c>
      <c r="C8" s="1" t="s">
        <v>361</v>
      </c>
      <c r="D8" s="153">
        <v>267.60000600000001</v>
      </c>
      <c r="E8" s="2">
        <v>76204.736625999998</v>
      </c>
      <c r="F8" s="2">
        <v>91575.734375</v>
      </c>
      <c r="G8" s="157">
        <v>284.77108800000002</v>
      </c>
      <c r="H8" s="2">
        <v>286.72300000000001</v>
      </c>
      <c r="I8" s="2">
        <v>19927</v>
      </c>
      <c r="J8" s="2">
        <v>2815</v>
      </c>
      <c r="K8" s="2">
        <v>5090</v>
      </c>
      <c r="L8" s="3">
        <v>32.531343999999997</v>
      </c>
      <c r="M8" s="3">
        <v>17.991302999999998</v>
      </c>
      <c r="N8" s="3"/>
    </row>
    <row r="9" spans="1:15" x14ac:dyDescent="0.2">
      <c r="A9" s="4" t="s">
        <v>362</v>
      </c>
      <c r="B9" s="4" t="s">
        <v>363</v>
      </c>
      <c r="C9" s="4" t="s">
        <v>364</v>
      </c>
      <c r="D9" s="154">
        <v>111.550003</v>
      </c>
      <c r="E9" s="5">
        <v>69518.793896999996</v>
      </c>
      <c r="F9" s="5">
        <v>68740.796875</v>
      </c>
      <c r="G9" s="5">
        <v>623.20745799999997</v>
      </c>
      <c r="H9" s="5">
        <v>631.20000000000005</v>
      </c>
      <c r="I9" s="5">
        <v>5232.5</v>
      </c>
      <c r="J9" s="5">
        <v>1610.4</v>
      </c>
      <c r="K9" s="5">
        <v>1773.7</v>
      </c>
      <c r="L9" s="6">
        <v>42.685544</v>
      </c>
      <c r="M9" s="6">
        <v>38.755595999999997</v>
      </c>
      <c r="N9" s="6"/>
    </row>
    <row r="10" spans="1:15" x14ac:dyDescent="0.2">
      <c r="A10" s="1" t="s">
        <v>365</v>
      </c>
      <c r="B10" s="1" t="s">
        <v>366</v>
      </c>
      <c r="C10" s="1" t="s">
        <v>364</v>
      </c>
      <c r="D10" s="153">
        <v>44.32</v>
      </c>
      <c r="E10" s="2">
        <v>63232.439661999997</v>
      </c>
      <c r="F10" s="2">
        <v>70644.4375</v>
      </c>
      <c r="G10" s="2">
        <v>1426.724731</v>
      </c>
      <c r="H10" s="2">
        <v>1433.8</v>
      </c>
      <c r="I10" s="2">
        <v>11888</v>
      </c>
      <c r="J10" s="2">
        <v>1922</v>
      </c>
      <c r="K10" s="2">
        <v>3015</v>
      </c>
      <c r="L10" s="3">
        <v>36.755692000000003</v>
      </c>
      <c r="M10" s="3">
        <v>23.430992</v>
      </c>
      <c r="N10" s="3"/>
    </row>
    <row r="11" spans="1:15" x14ac:dyDescent="0.2">
      <c r="A11" s="4" t="s">
        <v>367</v>
      </c>
      <c r="B11" s="4" t="s">
        <v>368</v>
      </c>
      <c r="C11" s="4" t="s">
        <v>364</v>
      </c>
      <c r="D11" s="154">
        <v>265.790009</v>
      </c>
      <c r="E11" s="5">
        <v>100347.60312099999</v>
      </c>
      <c r="F11" s="5">
        <v>110229.601562</v>
      </c>
      <c r="G11" s="5">
        <v>377.54467799999998</v>
      </c>
      <c r="H11" s="5">
        <v>382.3</v>
      </c>
      <c r="I11" s="5">
        <v>17108</v>
      </c>
      <c r="J11" s="5">
        <v>3661</v>
      </c>
      <c r="K11" s="5">
        <v>4651</v>
      </c>
      <c r="L11" s="6">
        <v>30.109151000000001</v>
      </c>
      <c r="M11" s="6">
        <v>23.700194</v>
      </c>
      <c r="N11" s="6"/>
    </row>
    <row r="12" spans="1:15" x14ac:dyDescent="0.2">
      <c r="A12" s="1" t="s">
        <v>369</v>
      </c>
      <c r="B12" s="1" t="s">
        <v>370</v>
      </c>
      <c r="C12" s="1" t="s">
        <v>364</v>
      </c>
      <c r="D12" s="153">
        <v>283.27999899999998</v>
      </c>
      <c r="E12" s="2">
        <v>101752.718011</v>
      </c>
      <c r="F12" s="2">
        <v>97686.117188000004</v>
      </c>
      <c r="G12" s="2">
        <v>359.19482399999998</v>
      </c>
      <c r="H12" s="2">
        <v>365.8</v>
      </c>
      <c r="I12" s="2">
        <v>5710.1</v>
      </c>
      <c r="J12" s="2">
        <v>1821</v>
      </c>
      <c r="K12" s="2">
        <v>2138</v>
      </c>
      <c r="L12" s="3">
        <v>53.644216999999998</v>
      </c>
      <c r="M12" s="3">
        <v>45.690421000000001</v>
      </c>
    </row>
    <row r="13" spans="1:15" x14ac:dyDescent="0.2">
      <c r="A13" s="4" t="s">
        <v>371</v>
      </c>
      <c r="B13" s="4" t="s">
        <v>372</v>
      </c>
      <c r="C13" s="4" t="s">
        <v>364</v>
      </c>
      <c r="D13" s="154">
        <v>79.050003000000004</v>
      </c>
      <c r="E13" s="5">
        <v>39706.313785999999</v>
      </c>
      <c r="F13" s="5">
        <v>55104.3125</v>
      </c>
      <c r="G13" s="5">
        <v>502.29361</v>
      </c>
      <c r="H13" s="5">
        <v>508</v>
      </c>
      <c r="I13" s="5">
        <v>12784</v>
      </c>
      <c r="J13" s="5">
        <v>2083</v>
      </c>
      <c r="K13" s="5">
        <v>2973</v>
      </c>
      <c r="L13" s="6">
        <v>26.454302999999999</v>
      </c>
      <c r="M13" s="6">
        <v>18.534918999999999</v>
      </c>
      <c r="N13" s="6"/>
    </row>
    <row r="14" spans="1:15" x14ac:dyDescent="0.2">
      <c r="A14" s="1" t="s">
        <v>373</v>
      </c>
      <c r="B14" s="1" t="s">
        <v>374</v>
      </c>
      <c r="C14" s="1" t="s">
        <v>364</v>
      </c>
      <c r="D14" s="153">
        <v>289.26998900000001</v>
      </c>
      <c r="E14" s="2">
        <v>206930.02111599999</v>
      </c>
      <c r="F14" s="2">
        <v>230894.015625</v>
      </c>
      <c r="G14" s="2">
        <v>715.35260000000005</v>
      </c>
      <c r="H14" s="2">
        <v>736.8</v>
      </c>
      <c r="I14" s="2">
        <v>29453</v>
      </c>
      <c r="J14" s="2">
        <v>8050</v>
      </c>
      <c r="K14" s="2">
        <v>10218</v>
      </c>
      <c r="L14" s="3">
        <v>28.682486999999998</v>
      </c>
      <c r="M14" s="3">
        <v>22.596792000000001</v>
      </c>
      <c r="N14" s="3"/>
    </row>
    <row r="15" spans="1:15" x14ac:dyDescent="0.2">
      <c r="A15" s="4" t="s">
        <v>375</v>
      </c>
      <c r="B15" s="4" t="s">
        <v>376</v>
      </c>
      <c r="C15" s="4" t="s">
        <v>364</v>
      </c>
      <c r="D15" s="154">
        <v>121.760002</v>
      </c>
      <c r="E15" s="5">
        <v>215306.62735200001</v>
      </c>
      <c r="F15" s="5">
        <v>224530.625</v>
      </c>
      <c r="G15" s="5">
        <v>1768.286987</v>
      </c>
      <c r="H15" s="5">
        <v>1789</v>
      </c>
      <c r="I15" s="5">
        <v>43075</v>
      </c>
      <c r="J15" s="5">
        <v>9200</v>
      </c>
      <c r="K15" s="5">
        <v>12738</v>
      </c>
      <c r="L15" s="6">
        <v>24.405503</v>
      </c>
      <c r="M15" s="6">
        <v>17.626835</v>
      </c>
      <c r="N15" s="6"/>
    </row>
    <row r="16" spans="1:15" x14ac:dyDescent="0.2">
      <c r="A16" s="1" t="s">
        <v>44</v>
      </c>
      <c r="B16" s="1"/>
      <c r="C16" s="1"/>
      <c r="D16" s="1"/>
      <c r="E16" s="1"/>
      <c r="F16" s="1"/>
      <c r="G16" s="1"/>
      <c r="H16" s="1"/>
      <c r="I16" s="1"/>
      <c r="J16" s="1"/>
      <c r="K16" s="1"/>
      <c r="L16" s="7">
        <v>34.408529999999999</v>
      </c>
      <c r="M16" s="235">
        <v>26.040882</v>
      </c>
    </row>
    <row r="17" spans="1:14" x14ac:dyDescent="0.2">
      <c r="A17" s="4" t="s">
        <v>377</v>
      </c>
      <c r="B17" s="4"/>
      <c r="C17" s="4"/>
      <c r="D17" s="4"/>
      <c r="E17" s="4"/>
      <c r="F17" s="4"/>
      <c r="G17" s="4"/>
      <c r="H17" s="4"/>
      <c r="I17" s="4"/>
      <c r="J17" s="4"/>
      <c r="K17" s="4"/>
      <c r="L17" s="6">
        <v>31.320247999999999</v>
      </c>
      <c r="M17" s="6">
        <v>23.013891999999998</v>
      </c>
    </row>
    <row r="18" spans="1:14" x14ac:dyDescent="0.2">
      <c r="A18" s="155" t="s">
        <v>378</v>
      </c>
    </row>
    <row r="19" spans="1:14" x14ac:dyDescent="0.2">
      <c r="A19" s="236"/>
      <c r="B19" s="236"/>
      <c r="C19" s="236"/>
      <c r="D19" s="236"/>
      <c r="E19" s="236"/>
      <c r="F19" s="236" t="s">
        <v>379</v>
      </c>
      <c r="G19" s="236"/>
      <c r="H19" s="236"/>
      <c r="I19" s="236" t="s">
        <v>380</v>
      </c>
      <c r="J19" s="236"/>
      <c r="K19" s="236"/>
      <c r="L19" s="236" t="s">
        <v>343</v>
      </c>
      <c r="M19" s="236"/>
      <c r="N19" s="236"/>
    </row>
    <row r="20" spans="1:14" x14ac:dyDescent="0.2">
      <c r="A20" s="236" t="s">
        <v>345</v>
      </c>
      <c r="B20" s="236"/>
      <c r="C20" s="236" t="s">
        <v>346</v>
      </c>
      <c r="D20" s="236" t="s">
        <v>381</v>
      </c>
      <c r="E20" s="236"/>
      <c r="F20" s="236"/>
      <c r="G20" s="236"/>
      <c r="H20" s="236"/>
      <c r="I20" s="236"/>
      <c r="J20" s="236"/>
      <c r="K20" s="236"/>
      <c r="L20" s="236"/>
      <c r="M20" s="236"/>
      <c r="N20" s="236"/>
    </row>
    <row r="21" spans="1:14" x14ac:dyDescent="0.2">
      <c r="A21" s="236" t="s">
        <v>349</v>
      </c>
      <c r="B21" s="236" t="s">
        <v>350</v>
      </c>
      <c r="C21" s="236" t="s">
        <v>351</v>
      </c>
      <c r="D21" s="236" t="s">
        <v>382</v>
      </c>
      <c r="E21" s="236" t="s">
        <v>354</v>
      </c>
      <c r="F21" s="236" t="s">
        <v>383</v>
      </c>
      <c r="G21" s="236" t="s">
        <v>381</v>
      </c>
      <c r="H21" s="236" t="s">
        <v>384</v>
      </c>
      <c r="I21" s="236" t="s">
        <v>162</v>
      </c>
      <c r="J21" s="236" t="s">
        <v>101</v>
      </c>
      <c r="K21" s="236" t="s">
        <v>213</v>
      </c>
      <c r="L21" s="236" t="s">
        <v>357</v>
      </c>
      <c r="M21" s="236" t="s">
        <v>358</v>
      </c>
      <c r="N21" s="236" t="s">
        <v>359</v>
      </c>
    </row>
    <row r="22" spans="1:14" x14ac:dyDescent="0.2">
      <c r="A22" s="1" t="s">
        <v>360</v>
      </c>
      <c r="B22" s="1" t="s">
        <v>327</v>
      </c>
      <c r="C22" s="1" t="s">
        <v>361</v>
      </c>
      <c r="D22" s="1" t="s">
        <v>385</v>
      </c>
      <c r="E22" s="2">
        <v>91575.734375</v>
      </c>
      <c r="F22" s="3">
        <v>46.246371000000003</v>
      </c>
      <c r="G22" s="3">
        <v>20.708977000000001</v>
      </c>
      <c r="H22" s="3">
        <v>19.176928</v>
      </c>
      <c r="I22" s="3">
        <v>4.5955599999999999</v>
      </c>
      <c r="J22" s="3">
        <v>32.531343999999997</v>
      </c>
      <c r="K22" s="3">
        <v>17.991302999999998</v>
      </c>
      <c r="L22" s="2">
        <v>19927</v>
      </c>
      <c r="M22" s="2">
        <v>2815</v>
      </c>
      <c r="N22" s="2">
        <v>5090</v>
      </c>
    </row>
    <row r="23" spans="1:14" x14ac:dyDescent="0.2">
      <c r="A23" s="4" t="s">
        <v>362</v>
      </c>
      <c r="B23" s="4" t="s">
        <v>363</v>
      </c>
      <c r="C23" s="4" t="s">
        <v>364</v>
      </c>
      <c r="D23" s="4" t="s">
        <v>386</v>
      </c>
      <c r="E23" s="5">
        <v>68740.796875</v>
      </c>
      <c r="F23" s="6">
        <v>46.844161</v>
      </c>
      <c r="G23" s="6">
        <v>43.832638000000003</v>
      </c>
      <c r="H23" s="6">
        <v>38.795482999999997</v>
      </c>
      <c r="I23" s="6">
        <v>13.137276999999999</v>
      </c>
      <c r="J23" s="6">
        <v>42.685544</v>
      </c>
      <c r="K23" s="6">
        <v>38.755595999999997</v>
      </c>
      <c r="L23" s="5">
        <v>5232.5</v>
      </c>
      <c r="M23" s="5">
        <v>1610.4</v>
      </c>
      <c r="N23" s="5">
        <v>1773.7</v>
      </c>
    </row>
    <row r="24" spans="1:14" x14ac:dyDescent="0.2">
      <c r="A24" s="1" t="s">
        <v>365</v>
      </c>
      <c r="B24" s="1" t="s">
        <v>366</v>
      </c>
      <c r="C24" s="1" t="s">
        <v>364</v>
      </c>
      <c r="D24" s="1" t="s">
        <v>386</v>
      </c>
      <c r="E24" s="2">
        <v>70644.4375</v>
      </c>
      <c r="F24" s="3">
        <v>64.512372999999997</v>
      </c>
      <c r="G24" s="3">
        <v>25.021961000000001</v>
      </c>
      <c r="H24" s="3">
        <v>22.077976</v>
      </c>
      <c r="I24" s="3">
        <v>5.9424999999999999</v>
      </c>
      <c r="J24" s="3">
        <v>36.755692000000003</v>
      </c>
      <c r="K24" s="3">
        <v>23.430992</v>
      </c>
      <c r="L24" s="2">
        <v>11888</v>
      </c>
      <c r="M24" s="2">
        <v>1922</v>
      </c>
      <c r="N24" s="2">
        <v>3015</v>
      </c>
    </row>
    <row r="25" spans="1:14" x14ac:dyDescent="0.2">
      <c r="A25" s="4" t="s">
        <v>367</v>
      </c>
      <c r="B25" s="4" t="s">
        <v>368</v>
      </c>
      <c r="C25" s="4" t="s">
        <v>364</v>
      </c>
      <c r="D25" s="4" t="s">
        <v>386</v>
      </c>
      <c r="E25" s="5">
        <v>110229.601562</v>
      </c>
      <c r="F25" s="6">
        <v>50.958626000000002</v>
      </c>
      <c r="G25" s="6">
        <v>27.143647999999999</v>
      </c>
      <c r="H25" s="6">
        <v>24.251787</v>
      </c>
      <c r="I25" s="6">
        <v>6.4431609999999999</v>
      </c>
      <c r="J25" s="6">
        <v>30.109151000000001</v>
      </c>
      <c r="K25" s="6">
        <v>23.700194</v>
      </c>
      <c r="L25" s="5">
        <v>17108</v>
      </c>
      <c r="M25" s="5">
        <v>3661</v>
      </c>
      <c r="N25" s="5">
        <v>4651</v>
      </c>
    </row>
    <row r="26" spans="1:14" x14ac:dyDescent="0.2">
      <c r="A26" s="1" t="s">
        <v>369</v>
      </c>
      <c r="B26" s="1" t="s">
        <v>370</v>
      </c>
      <c r="C26" s="1" t="s">
        <v>364</v>
      </c>
      <c r="D26" s="1" t="s">
        <v>386</v>
      </c>
      <c r="E26" s="2">
        <v>97686.117188000004</v>
      </c>
      <c r="F26" s="3">
        <v>60.791004000000001</v>
      </c>
      <c r="G26" s="3">
        <v>56.469054999999997</v>
      </c>
      <c r="H26" s="3">
        <v>47.832644999999999</v>
      </c>
      <c r="I26" s="3">
        <v>17.107602</v>
      </c>
      <c r="J26" s="3">
        <v>53.644216999999998</v>
      </c>
      <c r="K26" s="3">
        <v>45.690421000000001</v>
      </c>
      <c r="L26" s="2">
        <v>5710.1</v>
      </c>
      <c r="M26" s="2">
        <v>1821</v>
      </c>
      <c r="N26" s="2">
        <v>2138</v>
      </c>
    </row>
    <row r="27" spans="1:14" x14ac:dyDescent="0.2">
      <c r="A27" s="4" t="s">
        <v>371</v>
      </c>
      <c r="B27" s="4" t="s">
        <v>372</v>
      </c>
      <c r="C27" s="4" t="s">
        <v>364</v>
      </c>
      <c r="D27" s="4" t="s">
        <v>386</v>
      </c>
      <c r="E27" s="5">
        <v>55104.3125</v>
      </c>
      <c r="F27" s="6">
        <v>31.274726999999999</v>
      </c>
      <c r="G27" s="6">
        <v>18.39086</v>
      </c>
      <c r="H27" s="6">
        <v>16.09816</v>
      </c>
      <c r="I27" s="6">
        <v>4.3104120000000004</v>
      </c>
      <c r="J27" s="6">
        <v>26.454302999999999</v>
      </c>
      <c r="K27" s="6">
        <v>18.534918999999999</v>
      </c>
      <c r="L27" s="5">
        <v>12784</v>
      </c>
      <c r="M27" s="5">
        <v>2083</v>
      </c>
      <c r="N27" s="5">
        <v>2973</v>
      </c>
    </row>
    <row r="28" spans="1:14" x14ac:dyDescent="0.2">
      <c r="A28" s="1" t="s">
        <v>373</v>
      </c>
      <c r="B28" s="1" t="s">
        <v>374</v>
      </c>
      <c r="C28" s="1" t="s">
        <v>364</v>
      </c>
      <c r="D28" s="1" t="s">
        <v>386</v>
      </c>
      <c r="E28" s="2">
        <v>230894.015625</v>
      </c>
      <c r="F28" s="3">
        <v>33.580210000000001</v>
      </c>
      <c r="G28" s="3">
        <v>27.707011999999999</v>
      </c>
      <c r="H28" s="3">
        <v>26.158238999999998</v>
      </c>
      <c r="I28" s="3">
        <v>7.8394060000000003</v>
      </c>
      <c r="J28" s="3">
        <v>28.682486999999998</v>
      </c>
      <c r="K28" s="3">
        <v>22.596792000000001</v>
      </c>
      <c r="L28" s="2">
        <v>29453</v>
      </c>
      <c r="M28" s="2">
        <v>8050</v>
      </c>
      <c r="N28" s="2">
        <v>10218</v>
      </c>
    </row>
    <row r="29" spans="1:14" x14ac:dyDescent="0.2">
      <c r="A29" s="4" t="s">
        <v>375</v>
      </c>
      <c r="B29" s="4" t="s">
        <v>376</v>
      </c>
      <c r="C29" s="4" t="s">
        <v>364</v>
      </c>
      <c r="D29" s="4" t="s">
        <v>386</v>
      </c>
      <c r="E29" s="5">
        <v>224530.625</v>
      </c>
      <c r="F29" s="6">
        <v>30.932601999999999</v>
      </c>
      <c r="G29" s="6">
        <v>25.110802</v>
      </c>
      <c r="H29" s="6">
        <v>23.737774000000002</v>
      </c>
      <c r="I29" s="6">
        <v>5.2125510000000004</v>
      </c>
      <c r="J29" s="6">
        <v>24.405503</v>
      </c>
      <c r="K29" s="6">
        <v>17.626835</v>
      </c>
      <c r="L29" s="5">
        <v>43075</v>
      </c>
      <c r="M29" s="5">
        <v>9200</v>
      </c>
      <c r="N29" s="5">
        <v>12738</v>
      </c>
    </row>
    <row r="30" spans="1:14" x14ac:dyDescent="0.2">
      <c r="A30" s="1" t="s">
        <v>44</v>
      </c>
      <c r="B30" s="1"/>
      <c r="C30" s="1"/>
      <c r="D30" s="1"/>
      <c r="E30" s="1"/>
      <c r="F30" s="7">
        <v>45.642508999999997</v>
      </c>
      <c r="G30" s="366">
        <v>30.548119</v>
      </c>
      <c r="H30" s="3">
        <v>27.266124000000001</v>
      </c>
      <c r="I30" s="3">
        <v>8.0735589999999995</v>
      </c>
      <c r="J30" s="3">
        <v>34.408529999999999</v>
      </c>
      <c r="K30" s="3">
        <v>26.040882</v>
      </c>
      <c r="L30" s="1"/>
      <c r="M30" s="1"/>
      <c r="N30" s="1"/>
    </row>
    <row r="31" spans="1:14" x14ac:dyDescent="0.2">
      <c r="A31" s="4" t="s">
        <v>377</v>
      </c>
      <c r="B31" s="4"/>
      <c r="C31" s="4"/>
      <c r="D31" s="4"/>
      <c r="E31" s="4"/>
      <c r="F31" s="6">
        <v>46.545265999999998</v>
      </c>
      <c r="G31" s="6">
        <v>26.127224999999999</v>
      </c>
      <c r="H31" s="6">
        <v>23.994781</v>
      </c>
      <c r="I31" s="6">
        <v>6.1928299999999998</v>
      </c>
      <c r="J31" s="6">
        <v>31.320247999999999</v>
      </c>
      <c r="K31" s="6">
        <v>23.013891999999998</v>
      </c>
      <c r="L31" s="4"/>
      <c r="M31" s="4"/>
      <c r="N31" s="4"/>
    </row>
    <row r="32" spans="1:14" x14ac:dyDescent="0.2">
      <c r="A32" s="4"/>
      <c r="B32" s="4"/>
      <c r="C32" s="4"/>
      <c r="D32" s="154"/>
      <c r="E32" s="5"/>
      <c r="F32" s="5"/>
      <c r="G32" s="5"/>
      <c r="H32" s="5"/>
      <c r="I32" s="5"/>
      <c r="J32" s="5"/>
      <c r="K32" s="5"/>
      <c r="L32" s="6"/>
      <c r="M32" s="6"/>
    </row>
    <row r="33" spans="1:14" x14ac:dyDescent="0.2">
      <c r="A33" s="4"/>
      <c r="B33" s="367"/>
      <c r="C33" s="367"/>
      <c r="D33" s="367"/>
      <c r="E33" s="367"/>
      <c r="F33" s="367"/>
      <c r="G33" s="367"/>
      <c r="H33" s="368"/>
      <c r="I33" s="5"/>
      <c r="J33" s="5"/>
      <c r="K33" s="5"/>
      <c r="L33" s="6"/>
      <c r="M33" s="6"/>
    </row>
    <row r="34" spans="1:14" x14ac:dyDescent="0.2">
      <c r="A34" s="4"/>
      <c r="B34" s="158"/>
      <c r="C34" s="158"/>
      <c r="D34" s="154"/>
      <c r="E34" s="5"/>
      <c r="F34" s="5"/>
      <c r="G34" s="5"/>
      <c r="H34" s="5"/>
      <c r="I34" s="159"/>
      <c r="J34" s="5"/>
      <c r="K34" s="5"/>
      <c r="L34" s="6"/>
      <c r="M34" s="6"/>
    </row>
    <row r="35" spans="1:14" x14ac:dyDescent="0.2">
      <c r="A35" s="4"/>
      <c r="B35" s="4"/>
      <c r="C35" s="161"/>
      <c r="D35" s="160"/>
      <c r="E35" s="160"/>
      <c r="F35" s="160"/>
      <c r="G35" s="160"/>
      <c r="H35" s="162"/>
      <c r="I35" s="5"/>
      <c r="J35" s="5"/>
      <c r="K35" s="5"/>
      <c r="L35" s="6"/>
      <c r="M35" s="6"/>
    </row>
    <row r="36" spans="1:14" x14ac:dyDescent="0.2">
      <c r="A36" s="4"/>
      <c r="B36" s="4"/>
      <c r="C36" s="4"/>
      <c r="D36" s="4"/>
      <c r="E36" s="4"/>
      <c r="F36" s="4"/>
      <c r="G36" s="4"/>
      <c r="H36" s="4"/>
      <c r="I36" s="4"/>
      <c r="J36" s="4"/>
      <c r="K36" s="4"/>
      <c r="L36" s="6"/>
      <c r="M36" s="6"/>
    </row>
    <row r="37" spans="1:14" x14ac:dyDescent="0.2">
      <c r="A37" s="4"/>
      <c r="B37" s="4"/>
      <c r="C37" s="4"/>
      <c r="D37" s="4"/>
      <c r="E37" s="4"/>
      <c r="F37" s="4"/>
      <c r="G37" s="4"/>
      <c r="H37" s="4"/>
      <c r="I37" s="4"/>
      <c r="J37" s="4"/>
      <c r="K37" s="4"/>
      <c r="L37" s="6"/>
      <c r="M37" s="6"/>
    </row>
    <row r="38" spans="1:14" x14ac:dyDescent="0.2">
      <c r="A38" s="155"/>
    </row>
    <row r="39" spans="1:14" x14ac:dyDescent="0.2">
      <c r="A39" s="237"/>
      <c r="B39" s="237"/>
      <c r="C39" s="237"/>
      <c r="D39" s="237"/>
      <c r="E39" s="237"/>
      <c r="F39" s="237"/>
      <c r="G39" s="237"/>
      <c r="H39" s="237"/>
      <c r="I39" s="237"/>
      <c r="J39" s="237"/>
      <c r="K39" s="237"/>
      <c r="L39" s="237"/>
      <c r="M39" s="237"/>
      <c r="N39" s="237"/>
    </row>
    <row r="40" spans="1:14" x14ac:dyDescent="0.2">
      <c r="A40" s="237"/>
      <c r="B40" s="237"/>
      <c r="C40" s="237"/>
      <c r="D40" s="237"/>
      <c r="E40" s="237"/>
      <c r="F40" s="237"/>
      <c r="G40" s="237"/>
      <c r="H40" s="237"/>
      <c r="I40" s="237"/>
      <c r="J40" s="237"/>
      <c r="K40" s="237"/>
      <c r="L40" s="237"/>
      <c r="M40" s="237"/>
      <c r="N40" s="237"/>
    </row>
    <row r="41" spans="1:14" x14ac:dyDescent="0.2">
      <c r="A41" s="237"/>
      <c r="B41" s="237"/>
      <c r="C41" s="237"/>
      <c r="D41" s="237"/>
      <c r="E41" s="237"/>
      <c r="F41" s="237"/>
      <c r="G41" s="237"/>
      <c r="H41" s="237"/>
      <c r="I41" s="237"/>
      <c r="J41" s="237"/>
      <c r="K41" s="237"/>
      <c r="L41" s="237"/>
      <c r="M41" s="237"/>
      <c r="N41" s="237"/>
    </row>
    <row r="42" spans="1:14" x14ac:dyDescent="0.2">
      <c r="A42" s="4"/>
      <c r="B42" s="4"/>
      <c r="C42" s="4"/>
      <c r="D42" s="4"/>
      <c r="E42" s="5"/>
      <c r="F42" s="6"/>
      <c r="G42" s="6"/>
      <c r="H42" s="6"/>
      <c r="I42" s="6"/>
      <c r="J42" s="6"/>
      <c r="K42" s="6"/>
      <c r="L42" s="5"/>
      <c r="M42" s="5"/>
      <c r="N42" s="5"/>
    </row>
    <row r="43" spans="1:14" x14ac:dyDescent="0.2">
      <c r="A43" s="4"/>
      <c r="B43" s="4"/>
      <c r="C43" s="4"/>
      <c r="D43" s="4"/>
      <c r="E43" s="5"/>
      <c r="F43" s="6"/>
      <c r="G43" s="6"/>
      <c r="H43" s="6"/>
      <c r="I43" s="6"/>
      <c r="J43" s="6"/>
      <c r="K43" s="6"/>
      <c r="L43" s="5"/>
      <c r="M43" s="5"/>
      <c r="N43" s="5"/>
    </row>
    <row r="44" spans="1:14" x14ac:dyDescent="0.2">
      <c r="A44" s="4"/>
      <c r="B44" s="4"/>
      <c r="C44" s="4"/>
      <c r="D44" s="4"/>
      <c r="E44" s="5"/>
      <c r="F44" s="6"/>
      <c r="G44" s="6"/>
      <c r="H44" s="6"/>
      <c r="I44" s="6"/>
      <c r="J44" s="6"/>
      <c r="K44" s="6"/>
      <c r="L44" s="5"/>
      <c r="M44" s="5"/>
      <c r="N44" s="5"/>
    </row>
    <row r="45" spans="1:14" x14ac:dyDescent="0.2">
      <c r="A45" s="4"/>
      <c r="B45" s="4"/>
      <c r="C45" s="4"/>
      <c r="D45" s="4"/>
      <c r="E45" s="5"/>
      <c r="F45" s="6"/>
      <c r="G45" s="6"/>
      <c r="H45" s="6"/>
      <c r="I45" s="6"/>
      <c r="J45" s="6"/>
      <c r="K45" s="6"/>
      <c r="L45" s="5"/>
      <c r="M45" s="5"/>
      <c r="N45" s="5"/>
    </row>
    <row r="46" spans="1:14" x14ac:dyDescent="0.2">
      <c r="A46" s="4"/>
      <c r="B46" s="4"/>
      <c r="C46" s="4"/>
      <c r="D46" s="4"/>
      <c r="E46" s="5"/>
      <c r="F46" s="6"/>
      <c r="G46" s="6"/>
      <c r="H46" s="6"/>
      <c r="I46" s="6"/>
      <c r="J46" s="6"/>
      <c r="K46" s="6"/>
      <c r="L46" s="5"/>
      <c r="M46" s="5"/>
      <c r="N46" s="5"/>
    </row>
    <row r="47" spans="1:14" x14ac:dyDescent="0.2">
      <c r="A47" s="4"/>
      <c r="B47" s="4"/>
      <c r="C47" s="4"/>
      <c r="D47" s="4"/>
      <c r="E47" s="5"/>
      <c r="F47" s="6"/>
      <c r="G47" s="6"/>
      <c r="H47" s="6"/>
      <c r="I47" s="6"/>
      <c r="J47" s="6"/>
      <c r="K47" s="6"/>
      <c r="L47" s="5"/>
      <c r="M47" s="5"/>
      <c r="N47" s="5"/>
    </row>
    <row r="48" spans="1:14" x14ac:dyDescent="0.2">
      <c r="A48" s="4"/>
      <c r="B48" s="4"/>
      <c r="C48" s="4"/>
      <c r="D48" s="4"/>
      <c r="E48" s="5"/>
      <c r="F48" s="6"/>
      <c r="G48" s="6"/>
      <c r="H48" s="6"/>
      <c r="I48" s="6"/>
      <c r="J48" s="6"/>
      <c r="K48" s="6"/>
      <c r="L48" s="5"/>
      <c r="M48" s="5"/>
      <c r="N48" s="5"/>
    </row>
    <row r="49" spans="1:14" x14ac:dyDescent="0.2">
      <c r="A49" s="4"/>
      <c r="B49" s="4"/>
      <c r="C49" s="4"/>
      <c r="D49" s="4"/>
      <c r="E49" s="5"/>
      <c r="F49" s="6"/>
      <c r="G49" s="6"/>
      <c r="H49" s="6"/>
      <c r="I49" s="6"/>
      <c r="J49" s="6"/>
      <c r="K49" s="6"/>
      <c r="L49" s="5"/>
      <c r="M49" s="5"/>
      <c r="N49" s="5"/>
    </row>
    <row r="50" spans="1:14" x14ac:dyDescent="0.2">
      <c r="A50" s="4"/>
      <c r="B50" s="4"/>
      <c r="C50" s="4"/>
      <c r="D50" s="4"/>
      <c r="E50" s="4"/>
      <c r="F50" s="6"/>
      <c r="G50" s="6"/>
      <c r="H50" s="6"/>
      <c r="I50" s="6"/>
      <c r="J50" s="6"/>
      <c r="K50" s="6"/>
      <c r="L50" s="4"/>
      <c r="M50" s="4"/>
      <c r="N50" s="4"/>
    </row>
    <row r="51" spans="1:14" x14ac:dyDescent="0.2">
      <c r="A51" s="4"/>
      <c r="B51" s="4"/>
      <c r="C51" s="4"/>
      <c r="D51" s="4"/>
      <c r="E51" s="4"/>
      <c r="F51" s="6"/>
      <c r="G51" s="6"/>
      <c r="H51" s="6"/>
      <c r="I51" s="6"/>
      <c r="J51" s="6"/>
      <c r="K51" s="6"/>
      <c r="L51" s="4"/>
      <c r="M51" s="4"/>
      <c r="N51" s="4"/>
    </row>
  </sheetData>
  <hyperlinks>
    <hyperlink ref="E3:F3" location="'Assumptions Explanation'!B29" display="Assumption 28" xr:uid="{037DA73C-4BAF-1541-948E-66D0957F979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5BA5D-A2BF-7443-BDCE-C11BB97920D0}">
  <sheetPr>
    <outlinePr summaryBelow="0" summaryRight="0"/>
  </sheetPr>
  <dimension ref="A1:P48"/>
  <sheetViews>
    <sheetView showGridLines="0" workbookViewId="0">
      <selection activeCell="L11" sqref="L11"/>
    </sheetView>
  </sheetViews>
  <sheetFormatPr baseColWidth="10" defaultColWidth="9" defaultRowHeight="15" customHeight="1" outlineLevelRow="1" x14ac:dyDescent="0.15"/>
  <cols>
    <col min="1" max="1" width="43.83203125" style="27" customWidth="1"/>
    <col min="2" max="2" width="44.5" style="27" bestFit="1" customWidth="1"/>
    <col min="3" max="3" width="24.83203125" style="27" bestFit="1" customWidth="1"/>
    <col min="4" max="4" width="18.83203125" style="27" bestFit="1" customWidth="1"/>
    <col min="5" max="6" width="11.5" style="27" bestFit="1" customWidth="1"/>
    <col min="7" max="7" width="9.5" style="27" bestFit="1" customWidth="1"/>
    <col min="8" max="8" width="11.33203125" style="27" bestFit="1" customWidth="1"/>
    <col min="9" max="9" width="9" style="27" bestFit="1" customWidth="1"/>
    <col min="10" max="10" width="10" style="27" bestFit="1" customWidth="1"/>
    <col min="11" max="11" width="6.5" style="27" bestFit="1" customWidth="1"/>
    <col min="12" max="12" width="4.83203125" style="27" bestFit="1" customWidth="1"/>
    <col min="13" max="13" width="11.5" style="27" bestFit="1" customWidth="1"/>
    <col min="14" max="16384" width="9" style="27"/>
  </cols>
  <sheetData>
    <row r="1" spans="1:16" ht="15" customHeight="1" x14ac:dyDescent="0.15">
      <c r="A1" s="27" t="s">
        <v>152</v>
      </c>
    </row>
    <row r="2" spans="1:16" ht="15" customHeight="1" x14ac:dyDescent="0.15">
      <c r="A2" s="27" t="s">
        <v>153</v>
      </c>
    </row>
    <row r="4" spans="1:16" ht="15" customHeight="1" x14ac:dyDescent="0.15">
      <c r="A4" s="56"/>
    </row>
    <row r="5" spans="1:16" ht="15" customHeight="1" x14ac:dyDescent="0.15">
      <c r="A5" s="48" t="s">
        <v>387</v>
      </c>
      <c r="B5" s="48" t="s">
        <v>388</v>
      </c>
      <c r="C5" s="48" t="s">
        <v>389</v>
      </c>
      <c r="D5" s="48" t="s">
        <v>390</v>
      </c>
      <c r="E5" s="48" t="s">
        <v>391</v>
      </c>
      <c r="F5" s="48" t="s">
        <v>392</v>
      </c>
      <c r="G5" s="48" t="s">
        <v>393</v>
      </c>
      <c r="H5" s="48" t="s">
        <v>394</v>
      </c>
      <c r="I5" s="48" t="s">
        <v>395</v>
      </c>
      <c r="J5" s="48" t="s">
        <v>396</v>
      </c>
      <c r="K5" s="48" t="s">
        <v>352</v>
      </c>
      <c r="L5" s="48" t="s">
        <v>397</v>
      </c>
      <c r="M5" s="48" t="s">
        <v>398</v>
      </c>
      <c r="N5" s="164"/>
    </row>
    <row r="6" spans="1:16" ht="15" customHeight="1" x14ac:dyDescent="0.15">
      <c r="A6" s="57" t="s">
        <v>399</v>
      </c>
      <c r="B6" s="165"/>
      <c r="C6" s="166">
        <v>1064</v>
      </c>
      <c r="D6" s="166">
        <v>1064</v>
      </c>
      <c r="E6" s="165"/>
      <c r="F6" s="165"/>
      <c r="G6" s="165"/>
      <c r="H6" s="165"/>
      <c r="I6" s="165"/>
      <c r="J6" s="165"/>
      <c r="K6" s="165"/>
      <c r="L6" s="165"/>
      <c r="M6" s="165"/>
      <c r="N6" s="165"/>
      <c r="O6" s="165"/>
      <c r="P6" s="165"/>
    </row>
    <row r="7" spans="1:16" ht="15" customHeight="1" outlineLevel="1" x14ac:dyDescent="0.15">
      <c r="A7" s="44" t="s">
        <v>335</v>
      </c>
      <c r="B7" s="48" t="s">
        <v>400</v>
      </c>
      <c r="C7" s="167">
        <v>1064</v>
      </c>
      <c r="D7" s="167">
        <v>1064</v>
      </c>
      <c r="E7" s="48" t="s">
        <v>335</v>
      </c>
      <c r="F7" s="48" t="s">
        <v>335</v>
      </c>
      <c r="G7" s="48" t="s">
        <v>335</v>
      </c>
      <c r="H7" s="48" t="s">
        <v>335</v>
      </c>
      <c r="I7" s="48" t="s">
        <v>401</v>
      </c>
      <c r="J7" s="48" t="s">
        <v>402</v>
      </c>
      <c r="K7" s="48" t="s">
        <v>335</v>
      </c>
      <c r="L7" s="48" t="s">
        <v>335</v>
      </c>
      <c r="M7" s="48" t="s">
        <v>335</v>
      </c>
      <c r="N7" s="164"/>
    </row>
    <row r="8" spans="1:16" ht="15" customHeight="1" x14ac:dyDescent="0.15">
      <c r="A8" s="57" t="s">
        <v>403</v>
      </c>
      <c r="B8" s="165"/>
      <c r="C8" s="168">
        <v>0</v>
      </c>
      <c r="D8" s="168">
        <v>0</v>
      </c>
      <c r="E8" s="165"/>
      <c r="F8" s="165"/>
      <c r="G8" s="165"/>
      <c r="H8" s="165"/>
      <c r="I8" s="165"/>
      <c r="J8" s="165"/>
      <c r="K8" s="165"/>
      <c r="L8" s="165"/>
      <c r="M8" s="165"/>
      <c r="N8" s="165"/>
      <c r="O8" s="165"/>
      <c r="P8" s="165"/>
    </row>
    <row r="9" spans="1:16" ht="15" customHeight="1" outlineLevel="1" x14ac:dyDescent="0.15">
      <c r="A9" s="44" t="s">
        <v>404</v>
      </c>
      <c r="B9" s="48" t="s">
        <v>405</v>
      </c>
      <c r="C9" s="169">
        <v>0</v>
      </c>
      <c r="D9" s="169">
        <v>0</v>
      </c>
      <c r="E9" s="48" t="s">
        <v>335</v>
      </c>
      <c r="F9" s="48" t="s">
        <v>406</v>
      </c>
      <c r="G9" s="48" t="s">
        <v>407</v>
      </c>
      <c r="H9" s="48" t="s">
        <v>408</v>
      </c>
      <c r="I9" s="48" t="s">
        <v>401</v>
      </c>
      <c r="J9" s="48" t="s">
        <v>409</v>
      </c>
      <c r="K9" s="48" t="s">
        <v>335</v>
      </c>
      <c r="L9" s="48" t="s">
        <v>335</v>
      </c>
      <c r="M9" s="48" t="s">
        <v>335</v>
      </c>
      <c r="N9" s="48" t="s">
        <v>410</v>
      </c>
    </row>
    <row r="10" spans="1:16" ht="15" customHeight="1" x14ac:dyDescent="0.15">
      <c r="A10" s="57" t="s">
        <v>411</v>
      </c>
      <c r="B10" s="165"/>
      <c r="C10" s="170">
        <v>17509.900000000001</v>
      </c>
      <c r="D10" s="170">
        <v>17509.900000000001</v>
      </c>
      <c r="E10" s="165"/>
      <c r="F10" s="165"/>
      <c r="G10" s="165"/>
      <c r="H10" s="165"/>
      <c r="I10" s="165"/>
      <c r="J10" s="165"/>
      <c r="K10" s="165"/>
      <c r="L10" s="165"/>
      <c r="M10" s="165"/>
      <c r="N10" s="165"/>
      <c r="O10" s="165"/>
      <c r="P10" s="165"/>
    </row>
    <row r="11" spans="1:16" ht="15" customHeight="1" outlineLevel="1" x14ac:dyDescent="0.15">
      <c r="A11" s="44" t="s">
        <v>412</v>
      </c>
      <c r="B11" s="48" t="s">
        <v>413</v>
      </c>
      <c r="C11" s="171">
        <v>500</v>
      </c>
      <c r="D11" s="171">
        <v>500</v>
      </c>
      <c r="E11" s="48" t="s">
        <v>335</v>
      </c>
      <c r="F11" s="48" t="s">
        <v>406</v>
      </c>
      <c r="G11" s="48" t="s">
        <v>414</v>
      </c>
      <c r="H11" s="48" t="s">
        <v>415</v>
      </c>
      <c r="I11" s="48" t="s">
        <v>401</v>
      </c>
      <c r="J11" s="48" t="s">
        <v>409</v>
      </c>
      <c r="K11" s="172">
        <v>100.08</v>
      </c>
      <c r="L11" s="173">
        <v>1.27</v>
      </c>
      <c r="M11" s="174">
        <v>40.1</v>
      </c>
      <c r="N11" s="48" t="s">
        <v>410</v>
      </c>
    </row>
    <row r="12" spans="1:16" ht="15" customHeight="1" outlineLevel="1" x14ac:dyDescent="0.15">
      <c r="A12" s="41" t="s">
        <v>416</v>
      </c>
      <c r="B12" s="40" t="s">
        <v>417</v>
      </c>
      <c r="C12" s="175">
        <v>568.6</v>
      </c>
      <c r="D12" s="175">
        <v>568.6</v>
      </c>
      <c r="E12" s="176">
        <v>0.01</v>
      </c>
      <c r="F12" s="40" t="s">
        <v>418</v>
      </c>
      <c r="G12" s="40" t="s">
        <v>419</v>
      </c>
      <c r="H12" s="40" t="s">
        <v>386</v>
      </c>
      <c r="I12" s="40" t="s">
        <v>420</v>
      </c>
      <c r="J12" s="40" t="s">
        <v>409</v>
      </c>
      <c r="K12" s="177">
        <v>100.7</v>
      </c>
      <c r="L12" s="178">
        <v>0.06</v>
      </c>
      <c r="M12" s="179">
        <v>37.33</v>
      </c>
      <c r="N12" s="40" t="s">
        <v>410</v>
      </c>
    </row>
    <row r="13" spans="1:16" ht="15" customHeight="1" outlineLevel="1" x14ac:dyDescent="0.15">
      <c r="A13" s="44" t="s">
        <v>421</v>
      </c>
      <c r="B13" s="48" t="s">
        <v>422</v>
      </c>
      <c r="C13" s="180">
        <v>341.2</v>
      </c>
      <c r="D13" s="180">
        <v>341.2</v>
      </c>
      <c r="E13" s="181">
        <v>1.401E-2</v>
      </c>
      <c r="F13" s="48" t="s">
        <v>418</v>
      </c>
      <c r="G13" s="48" t="s">
        <v>423</v>
      </c>
      <c r="H13" s="48" t="s">
        <v>424</v>
      </c>
      <c r="I13" s="48" t="s">
        <v>420</v>
      </c>
      <c r="J13" s="48" t="s">
        <v>409</v>
      </c>
      <c r="K13" s="182">
        <v>101.33</v>
      </c>
      <c r="L13" s="183">
        <v>0.19</v>
      </c>
      <c r="M13" s="184">
        <v>31.33</v>
      </c>
      <c r="N13" s="48" t="s">
        <v>410</v>
      </c>
    </row>
    <row r="14" spans="1:16" ht="15" customHeight="1" outlineLevel="1" x14ac:dyDescent="0.15">
      <c r="A14" s="41" t="s">
        <v>425</v>
      </c>
      <c r="B14" s="40" t="s">
        <v>426</v>
      </c>
      <c r="C14" s="175">
        <v>454.9</v>
      </c>
      <c r="D14" s="175">
        <v>454.9</v>
      </c>
      <c r="E14" s="40" t="s">
        <v>335</v>
      </c>
      <c r="F14" s="40" t="s">
        <v>418</v>
      </c>
      <c r="G14" s="40" t="s">
        <v>427</v>
      </c>
      <c r="H14" s="40" t="s">
        <v>428</v>
      </c>
      <c r="I14" s="40" t="s">
        <v>420</v>
      </c>
      <c r="J14" s="40" t="s">
        <v>409</v>
      </c>
      <c r="K14" s="179">
        <v>99.43</v>
      </c>
      <c r="L14" s="185">
        <v>0.41</v>
      </c>
      <c r="M14" s="179">
        <v>37.840000000000003</v>
      </c>
      <c r="N14" s="186"/>
    </row>
    <row r="15" spans="1:16" ht="15" customHeight="1" outlineLevel="1" x14ac:dyDescent="0.15">
      <c r="A15" s="44" t="s">
        <v>429</v>
      </c>
      <c r="B15" s="48" t="s">
        <v>430</v>
      </c>
      <c r="C15" s="187">
        <v>909.8</v>
      </c>
      <c r="D15" s="187">
        <v>909.8</v>
      </c>
      <c r="E15" s="188">
        <v>6.3200000000000001E-3</v>
      </c>
      <c r="F15" s="48" t="s">
        <v>418</v>
      </c>
      <c r="G15" s="48" t="s">
        <v>431</v>
      </c>
      <c r="H15" s="48" t="s">
        <v>432</v>
      </c>
      <c r="I15" s="48" t="s">
        <v>420</v>
      </c>
      <c r="J15" s="48" t="s">
        <v>409</v>
      </c>
      <c r="K15" s="189">
        <v>100.58</v>
      </c>
      <c r="L15" s="183">
        <v>0.12</v>
      </c>
      <c r="M15" s="184">
        <v>19.93</v>
      </c>
      <c r="N15" s="48" t="s">
        <v>410</v>
      </c>
    </row>
    <row r="16" spans="1:16" ht="15" customHeight="1" outlineLevel="1" x14ac:dyDescent="0.15">
      <c r="A16" s="41" t="s">
        <v>433</v>
      </c>
      <c r="B16" s="40" t="s">
        <v>434</v>
      </c>
      <c r="C16" s="175">
        <v>143.6</v>
      </c>
      <c r="D16" s="175">
        <v>143.6</v>
      </c>
      <c r="E16" s="190">
        <v>3.875E-2</v>
      </c>
      <c r="F16" s="40" t="s">
        <v>418</v>
      </c>
      <c r="G16" s="40" t="s">
        <v>435</v>
      </c>
      <c r="H16" s="40" t="s">
        <v>436</v>
      </c>
      <c r="I16" s="40" t="s">
        <v>401</v>
      </c>
      <c r="J16" s="40" t="s">
        <v>409</v>
      </c>
      <c r="K16" s="191">
        <v>101.59</v>
      </c>
      <c r="L16" s="192">
        <v>3.01</v>
      </c>
      <c r="M16" s="193">
        <v>80.92</v>
      </c>
      <c r="N16" s="40" t="s">
        <v>410</v>
      </c>
    </row>
    <row r="17" spans="1:14" ht="15" customHeight="1" outlineLevel="1" x14ac:dyDescent="0.15">
      <c r="A17" s="44" t="s">
        <v>437</v>
      </c>
      <c r="B17" s="48" t="s">
        <v>434</v>
      </c>
      <c r="C17" s="194">
        <v>875</v>
      </c>
      <c r="D17" s="194">
        <v>875</v>
      </c>
      <c r="E17" s="195">
        <v>3.7339999999999998E-2</v>
      </c>
      <c r="F17" s="48" t="s">
        <v>418</v>
      </c>
      <c r="G17" s="48" t="s">
        <v>438</v>
      </c>
      <c r="H17" s="48" t="s">
        <v>439</v>
      </c>
      <c r="I17" s="48" t="s">
        <v>401</v>
      </c>
      <c r="J17" s="48" t="s">
        <v>409</v>
      </c>
      <c r="K17" s="196">
        <v>102.03</v>
      </c>
      <c r="L17" s="173">
        <v>2.88</v>
      </c>
      <c r="M17" s="197">
        <v>59.02</v>
      </c>
      <c r="N17" s="48" t="s">
        <v>410</v>
      </c>
    </row>
    <row r="18" spans="1:14" ht="15" customHeight="1" outlineLevel="1" x14ac:dyDescent="0.15">
      <c r="A18" s="41" t="s">
        <v>440</v>
      </c>
      <c r="B18" s="40" t="s">
        <v>434</v>
      </c>
      <c r="C18" s="175">
        <v>997.7</v>
      </c>
      <c r="D18" s="175">
        <v>997.7</v>
      </c>
      <c r="E18" s="190">
        <v>3.363E-2</v>
      </c>
      <c r="F18" s="40" t="s">
        <v>418</v>
      </c>
      <c r="G18" s="40" t="s">
        <v>414</v>
      </c>
      <c r="H18" s="40" t="s">
        <v>441</v>
      </c>
      <c r="I18" s="40" t="s">
        <v>401</v>
      </c>
      <c r="J18" s="40" t="s">
        <v>409</v>
      </c>
      <c r="K18" s="198">
        <v>101.4</v>
      </c>
      <c r="L18" s="199">
        <v>2.65</v>
      </c>
      <c r="M18" s="179">
        <v>42.34</v>
      </c>
      <c r="N18" s="186"/>
    </row>
    <row r="19" spans="1:14" ht="15" customHeight="1" outlineLevel="1" x14ac:dyDescent="0.15">
      <c r="A19" s="44" t="s">
        <v>442</v>
      </c>
      <c r="B19" s="48" t="s">
        <v>443</v>
      </c>
      <c r="C19" s="180">
        <v>338.6</v>
      </c>
      <c r="D19" s="180">
        <v>338.6</v>
      </c>
      <c r="E19" s="200">
        <v>3.0200000000000001E-2</v>
      </c>
      <c r="F19" s="48" t="s">
        <v>418</v>
      </c>
      <c r="G19" s="48" t="s">
        <v>423</v>
      </c>
      <c r="H19" s="48" t="s">
        <v>444</v>
      </c>
      <c r="I19" s="48" t="s">
        <v>445</v>
      </c>
      <c r="J19" s="48" t="s">
        <v>409</v>
      </c>
      <c r="K19" s="182">
        <v>101.66</v>
      </c>
      <c r="L19" s="173">
        <v>2.4300000000000002</v>
      </c>
      <c r="M19" s="184">
        <v>57.91</v>
      </c>
      <c r="N19" s="48" t="s">
        <v>410</v>
      </c>
    </row>
    <row r="20" spans="1:14" ht="15" customHeight="1" outlineLevel="1" x14ac:dyDescent="0.15">
      <c r="A20" s="41" t="s">
        <v>446</v>
      </c>
      <c r="B20" s="40" t="s">
        <v>417</v>
      </c>
      <c r="C20" s="175">
        <v>568.6</v>
      </c>
      <c r="D20" s="175">
        <v>568.6</v>
      </c>
      <c r="E20" s="201">
        <v>3.4000000000000002E-4</v>
      </c>
      <c r="F20" s="40" t="s">
        <v>418</v>
      </c>
      <c r="G20" s="40" t="s">
        <v>427</v>
      </c>
      <c r="H20" s="40" t="s">
        <v>447</v>
      </c>
      <c r="I20" s="40" t="s">
        <v>420</v>
      </c>
      <c r="J20" s="40" t="s">
        <v>409</v>
      </c>
      <c r="K20" s="179">
        <v>96.85</v>
      </c>
      <c r="L20" s="185">
        <v>0.98</v>
      </c>
      <c r="M20" s="179">
        <v>43.44</v>
      </c>
      <c r="N20" s="40" t="s">
        <v>410</v>
      </c>
    </row>
    <row r="21" spans="1:14" ht="15" customHeight="1" outlineLevel="1" x14ac:dyDescent="0.15">
      <c r="A21" s="44" t="s">
        <v>448</v>
      </c>
      <c r="B21" s="48" t="s">
        <v>449</v>
      </c>
      <c r="C21" s="202">
        <v>12.8</v>
      </c>
      <c r="D21" s="202">
        <v>12.8</v>
      </c>
      <c r="E21" s="203">
        <v>6.7000000000000004E-2</v>
      </c>
      <c r="F21" s="48" t="s">
        <v>418</v>
      </c>
      <c r="G21" s="48" t="s">
        <v>450</v>
      </c>
      <c r="H21" s="48" t="s">
        <v>451</v>
      </c>
      <c r="I21" s="48" t="s">
        <v>401</v>
      </c>
      <c r="J21" s="48" t="s">
        <v>409</v>
      </c>
      <c r="K21" s="182">
        <v>107.32</v>
      </c>
      <c r="L21" s="173">
        <v>4.93</v>
      </c>
      <c r="M21" s="204">
        <v>269.44</v>
      </c>
      <c r="N21" s="48" t="s">
        <v>410</v>
      </c>
    </row>
    <row r="22" spans="1:14" ht="15" customHeight="1" outlineLevel="1" x14ac:dyDescent="0.15">
      <c r="A22" s="41" t="s">
        <v>452</v>
      </c>
      <c r="B22" s="40" t="s">
        <v>434</v>
      </c>
      <c r="C22" s="205">
        <v>134</v>
      </c>
      <c r="D22" s="205">
        <v>134</v>
      </c>
      <c r="E22" s="206">
        <v>6.7000000000000004E-2</v>
      </c>
      <c r="F22" s="40" t="s">
        <v>418</v>
      </c>
      <c r="G22" s="40" t="s">
        <v>453</v>
      </c>
      <c r="H22" s="40" t="s">
        <v>451</v>
      </c>
      <c r="I22" s="40" t="s">
        <v>401</v>
      </c>
      <c r="J22" s="40" t="s">
        <v>409</v>
      </c>
      <c r="K22" s="207">
        <v>114.29</v>
      </c>
      <c r="L22" s="199">
        <v>3.39</v>
      </c>
      <c r="M22" s="207">
        <v>114.65</v>
      </c>
      <c r="N22" s="40" t="s">
        <v>410</v>
      </c>
    </row>
    <row r="23" spans="1:14" ht="15" customHeight="1" outlineLevel="1" x14ac:dyDescent="0.15">
      <c r="A23" s="44" t="s">
        <v>454</v>
      </c>
      <c r="B23" s="48" t="s">
        <v>417</v>
      </c>
      <c r="C23" s="180">
        <v>568.6</v>
      </c>
      <c r="D23" s="180">
        <v>568.6</v>
      </c>
      <c r="E23" s="203">
        <v>1.9E-2</v>
      </c>
      <c r="F23" s="48" t="s">
        <v>418</v>
      </c>
      <c r="G23" s="48" t="s">
        <v>419</v>
      </c>
      <c r="H23" s="48" t="s">
        <v>451</v>
      </c>
      <c r="I23" s="48" t="s">
        <v>420</v>
      </c>
      <c r="J23" s="48" t="s">
        <v>409</v>
      </c>
      <c r="K23" s="182">
        <v>102.97</v>
      </c>
      <c r="L23" s="173">
        <v>1.21</v>
      </c>
      <c r="M23" s="184">
        <v>52.51</v>
      </c>
      <c r="N23" s="48" t="s">
        <v>410</v>
      </c>
    </row>
    <row r="24" spans="1:14" ht="15" customHeight="1" outlineLevel="1" x14ac:dyDescent="0.15">
      <c r="A24" s="41" t="s">
        <v>455</v>
      </c>
      <c r="B24" s="40" t="s">
        <v>456</v>
      </c>
      <c r="C24" s="175">
        <v>682.3</v>
      </c>
      <c r="D24" s="175">
        <v>682.3</v>
      </c>
      <c r="E24" s="208">
        <v>1.208E-2</v>
      </c>
      <c r="F24" s="40" t="s">
        <v>418</v>
      </c>
      <c r="G24" s="40" t="s">
        <v>431</v>
      </c>
      <c r="H24" s="40" t="s">
        <v>457</v>
      </c>
      <c r="I24" s="40" t="s">
        <v>420</v>
      </c>
      <c r="J24" s="40" t="s">
        <v>409</v>
      </c>
      <c r="K24" s="209">
        <v>100.02</v>
      </c>
      <c r="L24" s="210">
        <v>1.2</v>
      </c>
      <c r="M24" s="179">
        <v>53.93</v>
      </c>
      <c r="N24" s="40" t="s">
        <v>410</v>
      </c>
    </row>
    <row r="25" spans="1:14" ht="15" customHeight="1" outlineLevel="1" x14ac:dyDescent="0.15">
      <c r="A25" s="44" t="s">
        <v>458</v>
      </c>
      <c r="B25" s="48" t="s">
        <v>434</v>
      </c>
      <c r="C25" s="194">
        <v>168</v>
      </c>
      <c r="D25" s="194">
        <v>168</v>
      </c>
      <c r="E25" s="211">
        <v>7.0000000000000007E-2</v>
      </c>
      <c r="F25" s="48" t="s">
        <v>418</v>
      </c>
      <c r="G25" s="48" t="s">
        <v>459</v>
      </c>
      <c r="H25" s="48" t="s">
        <v>460</v>
      </c>
      <c r="I25" s="48" t="s">
        <v>401</v>
      </c>
      <c r="J25" s="48" t="s">
        <v>409</v>
      </c>
      <c r="K25" s="204">
        <v>117.89</v>
      </c>
      <c r="L25" s="173">
        <v>3.33</v>
      </c>
      <c r="M25" s="212">
        <v>110.02</v>
      </c>
      <c r="N25" s="48" t="s">
        <v>410</v>
      </c>
    </row>
    <row r="26" spans="1:14" ht="15" customHeight="1" outlineLevel="1" x14ac:dyDescent="0.15">
      <c r="A26" s="41" t="s">
        <v>461</v>
      </c>
      <c r="B26" s="40" t="s">
        <v>434</v>
      </c>
      <c r="C26" s="213">
        <v>1725</v>
      </c>
      <c r="D26" s="213">
        <v>1725</v>
      </c>
      <c r="E26" s="206">
        <v>3.6999999999999998E-2</v>
      </c>
      <c r="F26" s="40" t="s">
        <v>418</v>
      </c>
      <c r="G26" s="40" t="s">
        <v>414</v>
      </c>
      <c r="H26" s="40" t="s">
        <v>462</v>
      </c>
      <c r="I26" s="40" t="s">
        <v>401</v>
      </c>
      <c r="J26" s="40" t="s">
        <v>409</v>
      </c>
      <c r="K26" s="191">
        <v>102.53</v>
      </c>
      <c r="L26" s="199">
        <v>3.14</v>
      </c>
      <c r="M26" s="214">
        <v>88.9</v>
      </c>
      <c r="N26" s="186"/>
    </row>
    <row r="27" spans="1:14" ht="15" customHeight="1" outlineLevel="1" x14ac:dyDescent="0.15">
      <c r="A27" s="44" t="s">
        <v>463</v>
      </c>
      <c r="B27" s="48" t="s">
        <v>434</v>
      </c>
      <c r="C27" s="180">
        <v>167.1</v>
      </c>
      <c r="D27" s="180">
        <v>167.1</v>
      </c>
      <c r="E27" s="203">
        <v>6.7000000000000004E-2</v>
      </c>
      <c r="F27" s="48" t="s">
        <v>418</v>
      </c>
      <c r="G27" s="48" t="s">
        <v>464</v>
      </c>
      <c r="H27" s="48" t="s">
        <v>465</v>
      </c>
      <c r="I27" s="48" t="s">
        <v>401</v>
      </c>
      <c r="J27" s="48" t="s">
        <v>409</v>
      </c>
      <c r="K27" s="215">
        <v>117.2</v>
      </c>
      <c r="L27" s="173">
        <v>3.65</v>
      </c>
      <c r="M27" s="204">
        <v>141.33000000000001</v>
      </c>
      <c r="N27" s="48" t="s">
        <v>410</v>
      </c>
    </row>
    <row r="28" spans="1:14" ht="15" customHeight="1" outlineLevel="1" x14ac:dyDescent="0.15">
      <c r="A28" s="41" t="s">
        <v>466</v>
      </c>
      <c r="B28" s="40" t="s">
        <v>467</v>
      </c>
      <c r="C28" s="216">
        <v>1023.5</v>
      </c>
      <c r="D28" s="216">
        <v>1023.5</v>
      </c>
      <c r="E28" s="217">
        <v>3.3400000000000001E-3</v>
      </c>
      <c r="F28" s="40" t="s">
        <v>418</v>
      </c>
      <c r="G28" s="40" t="s">
        <v>427</v>
      </c>
      <c r="H28" s="40" t="s">
        <v>465</v>
      </c>
      <c r="I28" s="40" t="s">
        <v>420</v>
      </c>
      <c r="J28" s="40" t="s">
        <v>409</v>
      </c>
      <c r="K28" s="179">
        <v>92.48</v>
      </c>
      <c r="L28" s="199">
        <v>1.57</v>
      </c>
      <c r="M28" s="179">
        <v>76.540000000000006</v>
      </c>
      <c r="N28" s="40" t="s">
        <v>410</v>
      </c>
    </row>
    <row r="29" spans="1:14" ht="15" customHeight="1" outlineLevel="1" x14ac:dyDescent="0.15">
      <c r="A29" s="44" t="s">
        <v>468</v>
      </c>
      <c r="B29" s="48" t="s">
        <v>434</v>
      </c>
      <c r="C29" s="218">
        <v>750</v>
      </c>
      <c r="D29" s="218">
        <v>750</v>
      </c>
      <c r="E29" s="195">
        <v>2.8230000000000002E-2</v>
      </c>
      <c r="F29" s="48" t="s">
        <v>418</v>
      </c>
      <c r="G29" s="48" t="s">
        <v>469</v>
      </c>
      <c r="H29" s="48" t="s">
        <v>470</v>
      </c>
      <c r="I29" s="48" t="s">
        <v>401</v>
      </c>
      <c r="J29" s="48" t="s">
        <v>409</v>
      </c>
      <c r="K29" s="184">
        <v>95.71</v>
      </c>
      <c r="L29" s="173">
        <v>3.43</v>
      </c>
      <c r="M29" s="204">
        <v>117.53</v>
      </c>
      <c r="N29" s="48" t="s">
        <v>410</v>
      </c>
    </row>
    <row r="30" spans="1:14" ht="15" customHeight="1" outlineLevel="1" x14ac:dyDescent="0.15">
      <c r="A30" s="41" t="s">
        <v>471</v>
      </c>
      <c r="B30" s="40" t="s">
        <v>434</v>
      </c>
      <c r="C30" s="219">
        <v>1000</v>
      </c>
      <c r="D30" s="219">
        <v>1000</v>
      </c>
      <c r="E30" s="190">
        <v>1.9570000000000001E-2</v>
      </c>
      <c r="F30" s="40" t="s">
        <v>418</v>
      </c>
      <c r="G30" s="40" t="s">
        <v>472</v>
      </c>
      <c r="H30" s="40" t="s">
        <v>473</v>
      </c>
      <c r="I30" s="40" t="s">
        <v>401</v>
      </c>
      <c r="J30" s="40" t="s">
        <v>409</v>
      </c>
      <c r="K30" s="220">
        <v>89</v>
      </c>
      <c r="L30" s="210">
        <v>3.4</v>
      </c>
      <c r="M30" s="207">
        <v>114.19</v>
      </c>
      <c r="N30" s="40" t="s">
        <v>410</v>
      </c>
    </row>
    <row r="31" spans="1:14" ht="15" customHeight="1" outlineLevel="1" x14ac:dyDescent="0.15">
      <c r="A31" s="44" t="s">
        <v>474</v>
      </c>
      <c r="B31" s="48" t="s">
        <v>475</v>
      </c>
      <c r="C31" s="180">
        <v>682.3</v>
      </c>
      <c r="D31" s="180">
        <v>682.3</v>
      </c>
      <c r="E31" s="195">
        <v>1.213E-2</v>
      </c>
      <c r="F31" s="48" t="s">
        <v>418</v>
      </c>
      <c r="G31" s="48" t="s">
        <v>472</v>
      </c>
      <c r="H31" s="48" t="s">
        <v>476</v>
      </c>
      <c r="I31" s="48" t="s">
        <v>420</v>
      </c>
      <c r="J31" s="48" t="s">
        <v>409</v>
      </c>
      <c r="K31" s="221">
        <v>88.1</v>
      </c>
      <c r="L31" s="222">
        <v>2.2000000000000002</v>
      </c>
      <c r="M31" s="182">
        <v>108.15</v>
      </c>
      <c r="N31" s="48" t="s">
        <v>410</v>
      </c>
    </row>
    <row r="32" spans="1:14" ht="15" customHeight="1" outlineLevel="1" x14ac:dyDescent="0.15">
      <c r="A32" s="41" t="s">
        <v>477</v>
      </c>
      <c r="B32" s="40" t="s">
        <v>434</v>
      </c>
      <c r="C32" s="223">
        <v>250</v>
      </c>
      <c r="D32" s="223">
        <v>250</v>
      </c>
      <c r="E32" s="176">
        <v>0.06</v>
      </c>
      <c r="F32" s="40" t="s">
        <v>418</v>
      </c>
      <c r="G32" s="40" t="s">
        <v>478</v>
      </c>
      <c r="H32" s="40" t="s">
        <v>479</v>
      </c>
      <c r="I32" s="40" t="s">
        <v>401</v>
      </c>
      <c r="J32" s="40" t="s">
        <v>409</v>
      </c>
      <c r="K32" s="207">
        <v>119.82</v>
      </c>
      <c r="L32" s="199">
        <v>4.3499999999999996</v>
      </c>
      <c r="M32" s="191">
        <v>202.37</v>
      </c>
      <c r="N32" s="40" t="s">
        <v>410</v>
      </c>
    </row>
    <row r="33" spans="1:16" ht="15" customHeight="1" outlineLevel="1" x14ac:dyDescent="0.15">
      <c r="A33" s="44" t="s">
        <v>480</v>
      </c>
      <c r="B33" s="48" t="s">
        <v>434</v>
      </c>
      <c r="C33" s="194">
        <v>125</v>
      </c>
      <c r="D33" s="194">
        <v>125</v>
      </c>
      <c r="E33" s="211">
        <v>0.05</v>
      </c>
      <c r="F33" s="48" t="s">
        <v>418</v>
      </c>
      <c r="G33" s="48" t="s">
        <v>481</v>
      </c>
      <c r="H33" s="48" t="s">
        <v>482</v>
      </c>
      <c r="I33" s="48" t="s">
        <v>401</v>
      </c>
      <c r="J33" s="48" t="s">
        <v>409</v>
      </c>
      <c r="K33" s="182">
        <v>108.32</v>
      </c>
      <c r="L33" s="173">
        <v>4.34</v>
      </c>
      <c r="M33" s="182">
        <v>201.12</v>
      </c>
      <c r="N33" s="48" t="s">
        <v>410</v>
      </c>
    </row>
    <row r="34" spans="1:16" ht="15" customHeight="1" outlineLevel="1" x14ac:dyDescent="0.15">
      <c r="A34" s="41" t="s">
        <v>483</v>
      </c>
      <c r="B34" s="40" t="s">
        <v>467</v>
      </c>
      <c r="C34" s="216">
        <v>1023.5</v>
      </c>
      <c r="D34" s="216">
        <v>1023.5</v>
      </c>
      <c r="E34" s="190">
        <v>1.336E-2</v>
      </c>
      <c r="F34" s="40" t="s">
        <v>418</v>
      </c>
      <c r="G34" s="40" t="s">
        <v>427</v>
      </c>
      <c r="H34" s="40" t="s">
        <v>484</v>
      </c>
      <c r="I34" s="40" t="s">
        <v>420</v>
      </c>
      <c r="J34" s="40" t="s">
        <v>409</v>
      </c>
      <c r="K34" s="214">
        <v>82.4</v>
      </c>
      <c r="L34" s="199">
        <v>2.48</v>
      </c>
      <c r="M34" s="207">
        <v>136.79</v>
      </c>
      <c r="N34" s="40" t="s">
        <v>410</v>
      </c>
    </row>
    <row r="35" spans="1:16" ht="15" customHeight="1" outlineLevel="1" x14ac:dyDescent="0.15">
      <c r="A35" s="44" t="s">
        <v>485</v>
      </c>
      <c r="B35" s="48" t="s">
        <v>434</v>
      </c>
      <c r="C35" s="180">
        <v>224.9</v>
      </c>
      <c r="D35" s="180">
        <v>224.9</v>
      </c>
      <c r="E35" s="195">
        <v>4.8750000000000002E-2</v>
      </c>
      <c r="F35" s="48" t="s">
        <v>418</v>
      </c>
      <c r="G35" s="48" t="s">
        <v>435</v>
      </c>
      <c r="H35" s="48" t="s">
        <v>486</v>
      </c>
      <c r="I35" s="48" t="s">
        <v>401</v>
      </c>
      <c r="J35" s="48" t="s">
        <v>409</v>
      </c>
      <c r="K35" s="196">
        <v>108.04</v>
      </c>
      <c r="L35" s="222">
        <v>4.3</v>
      </c>
      <c r="M35" s="204">
        <v>196.74</v>
      </c>
      <c r="N35" s="48" t="s">
        <v>410</v>
      </c>
    </row>
    <row r="36" spans="1:16" ht="15" customHeight="1" outlineLevel="1" x14ac:dyDescent="0.15">
      <c r="A36" s="41" t="s">
        <v>487</v>
      </c>
      <c r="B36" s="40" t="s">
        <v>434</v>
      </c>
      <c r="C36" s="224">
        <v>1025</v>
      </c>
      <c r="D36" s="224">
        <v>1025</v>
      </c>
      <c r="E36" s="190">
        <v>4.6850000000000003E-2</v>
      </c>
      <c r="F36" s="40" t="s">
        <v>418</v>
      </c>
      <c r="G36" s="40" t="s">
        <v>438</v>
      </c>
      <c r="H36" s="40" t="s">
        <v>488</v>
      </c>
      <c r="I36" s="40" t="s">
        <v>401</v>
      </c>
      <c r="J36" s="40" t="s">
        <v>409</v>
      </c>
      <c r="K36" s="191">
        <v>107.85</v>
      </c>
      <c r="L36" s="199">
        <v>4.1399999999999997</v>
      </c>
      <c r="M36" s="225">
        <v>181.1</v>
      </c>
      <c r="N36" s="186"/>
    </row>
    <row r="37" spans="1:16" ht="15" customHeight="1" outlineLevel="1" x14ac:dyDescent="0.15">
      <c r="A37" s="44" t="s">
        <v>489</v>
      </c>
      <c r="B37" s="48" t="s">
        <v>434</v>
      </c>
      <c r="C37" s="226">
        <v>1500</v>
      </c>
      <c r="D37" s="226">
        <v>1500</v>
      </c>
      <c r="E37" s="195">
        <v>4.6690000000000002E-2</v>
      </c>
      <c r="F37" s="48" t="s">
        <v>418</v>
      </c>
      <c r="G37" s="48" t="s">
        <v>414</v>
      </c>
      <c r="H37" s="48" t="s">
        <v>490</v>
      </c>
      <c r="I37" s="48" t="s">
        <v>401</v>
      </c>
      <c r="J37" s="48" t="s">
        <v>409</v>
      </c>
      <c r="K37" s="182">
        <v>108.67</v>
      </c>
      <c r="L37" s="173">
        <v>4.1100000000000003</v>
      </c>
      <c r="M37" s="204">
        <v>179.48</v>
      </c>
      <c r="N37" s="164"/>
    </row>
    <row r="38" spans="1:16" ht="15" customHeight="1" outlineLevel="1" x14ac:dyDescent="0.15">
      <c r="A38" s="41" t="s">
        <v>491</v>
      </c>
      <c r="B38" s="40" t="s">
        <v>434</v>
      </c>
      <c r="C38" s="223">
        <v>750</v>
      </c>
      <c r="D38" s="223">
        <v>750</v>
      </c>
      <c r="E38" s="190">
        <v>3.7940000000000002E-2</v>
      </c>
      <c r="F38" s="40" t="s">
        <v>418</v>
      </c>
      <c r="G38" s="40" t="s">
        <v>469</v>
      </c>
      <c r="H38" s="40" t="s">
        <v>492</v>
      </c>
      <c r="I38" s="40" t="s">
        <v>401</v>
      </c>
      <c r="J38" s="40" t="s">
        <v>409</v>
      </c>
      <c r="K38" s="179">
        <v>95.38</v>
      </c>
      <c r="L38" s="192">
        <v>4.07</v>
      </c>
      <c r="M38" s="207">
        <v>178.11</v>
      </c>
      <c r="N38" s="40" t="s">
        <v>410</v>
      </c>
    </row>
    <row r="39" spans="1:16" ht="15" customHeight="1" x14ac:dyDescent="0.15">
      <c r="A39" s="35" t="s">
        <v>402</v>
      </c>
      <c r="B39" s="227"/>
      <c r="C39" s="228">
        <v>-85.9</v>
      </c>
      <c r="D39" s="228">
        <v>-85.9</v>
      </c>
      <c r="E39" s="227"/>
      <c r="F39" s="227"/>
      <c r="G39" s="227"/>
      <c r="H39" s="227"/>
      <c r="I39" s="227"/>
      <c r="J39" s="227"/>
      <c r="K39" s="227"/>
      <c r="L39" s="227"/>
      <c r="M39" s="227"/>
      <c r="N39" s="227"/>
      <c r="O39" s="227"/>
      <c r="P39" s="227"/>
    </row>
    <row r="40" spans="1:16" ht="15" customHeight="1" outlineLevel="1" x14ac:dyDescent="0.15">
      <c r="A40" s="41" t="s">
        <v>335</v>
      </c>
      <c r="B40" s="40" t="s">
        <v>493</v>
      </c>
      <c r="C40" s="229">
        <v>-85.9</v>
      </c>
      <c r="D40" s="229">
        <v>-85.9</v>
      </c>
      <c r="E40" s="40" t="s">
        <v>335</v>
      </c>
      <c r="F40" s="40" t="s">
        <v>335</v>
      </c>
      <c r="G40" s="40" t="s">
        <v>335</v>
      </c>
      <c r="H40" s="40" t="s">
        <v>335</v>
      </c>
      <c r="I40" s="40" t="s">
        <v>401</v>
      </c>
      <c r="J40" s="40" t="s">
        <v>402</v>
      </c>
      <c r="K40" s="40" t="s">
        <v>335</v>
      </c>
      <c r="L40" s="40" t="s">
        <v>335</v>
      </c>
      <c r="M40" s="40" t="s">
        <v>335</v>
      </c>
      <c r="N40" s="186"/>
    </row>
    <row r="41" spans="1:16" ht="15" customHeight="1" x14ac:dyDescent="0.15">
      <c r="A41" s="230"/>
      <c r="B41" s="48" t="s">
        <v>494</v>
      </c>
      <c r="C41" s="231">
        <v>17424</v>
      </c>
      <c r="D41" s="230"/>
      <c r="E41" s="230"/>
    </row>
    <row r="42" spans="1:16" ht="15" customHeight="1" x14ac:dyDescent="0.15">
      <c r="A42" s="232"/>
      <c r="B42" s="40" t="s">
        <v>495</v>
      </c>
      <c r="C42" s="233">
        <v>-1064</v>
      </c>
      <c r="D42" s="232"/>
      <c r="E42" s="232"/>
    </row>
    <row r="43" spans="1:16" ht="15" customHeight="1" x14ac:dyDescent="0.15">
      <c r="A43" s="230"/>
      <c r="B43" s="48" t="s">
        <v>496</v>
      </c>
      <c r="C43" s="234">
        <v>16360</v>
      </c>
      <c r="D43" s="230"/>
      <c r="E43" s="230"/>
    </row>
    <row r="44" spans="1:16" ht="15" customHeight="1" x14ac:dyDescent="0.15">
      <c r="A44" s="232"/>
      <c r="B44" s="40" t="s">
        <v>497</v>
      </c>
      <c r="C44" s="224">
        <v>1064</v>
      </c>
      <c r="D44" s="232"/>
      <c r="E44" s="232"/>
    </row>
    <row r="45" spans="1:16" ht="15" customHeight="1" x14ac:dyDescent="0.15">
      <c r="A45" s="230"/>
      <c r="B45" s="48" t="s">
        <v>498</v>
      </c>
      <c r="C45" s="231">
        <v>17424</v>
      </c>
      <c r="D45" s="231">
        <v>17424</v>
      </c>
      <c r="E45" s="230"/>
    </row>
    <row r="46" spans="1:16" ht="15" customHeight="1" x14ac:dyDescent="0.15">
      <c r="A46" s="27" t="s">
        <v>499</v>
      </c>
      <c r="B46" s="27" t="s">
        <v>500</v>
      </c>
    </row>
    <row r="47" spans="1:16" ht="15" customHeight="1" x14ac:dyDescent="0.15">
      <c r="A47" s="28" t="s">
        <v>501</v>
      </c>
    </row>
    <row r="48" spans="1:16" ht="15" customHeight="1" x14ac:dyDescent="0.15">
      <c r="A48" s="28" t="s">
        <v>502</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1C69-7F1C-2C45-A7FB-07303427C8C2}">
  <dimension ref="A1:H46"/>
  <sheetViews>
    <sheetView showGridLines="0" zoomScale="119" workbookViewId="0">
      <selection activeCell="E8" sqref="E8"/>
    </sheetView>
  </sheetViews>
  <sheetFormatPr baseColWidth="10" defaultColWidth="10.83203125" defaultRowHeight="14" x14ac:dyDescent="0.2"/>
  <cols>
    <col min="1" max="1" width="43.83203125" style="272" customWidth="1"/>
    <col min="2" max="2" width="18.83203125" style="272" bestFit="1" customWidth="1"/>
    <col min="3" max="3" width="10.83203125" style="272"/>
    <col min="4" max="4" width="14.83203125" style="272" bestFit="1" customWidth="1"/>
    <col min="5" max="5" width="12" style="272" bestFit="1" customWidth="1"/>
    <col min="6" max="6" width="23.83203125" style="272" bestFit="1" customWidth="1"/>
    <col min="7" max="16384" width="10.83203125" style="272"/>
  </cols>
  <sheetData>
    <row r="1" spans="1:8" x14ac:dyDescent="0.2">
      <c r="A1" s="272" t="s">
        <v>152</v>
      </c>
      <c r="C1" s="272" t="s">
        <v>503</v>
      </c>
      <c r="D1" s="289" t="s">
        <v>504</v>
      </c>
      <c r="E1" s="272" t="s">
        <v>505</v>
      </c>
      <c r="F1" s="272" t="s">
        <v>506</v>
      </c>
      <c r="G1" s="272" t="s">
        <v>507</v>
      </c>
    </row>
    <row r="2" spans="1:8" x14ac:dyDescent="0.2">
      <c r="A2" s="272" t="s">
        <v>153</v>
      </c>
      <c r="D2" s="290"/>
    </row>
    <row r="3" spans="1:8" x14ac:dyDescent="0.2">
      <c r="D3" s="289"/>
    </row>
    <row r="4" spans="1:8" x14ac:dyDescent="0.2">
      <c r="A4" s="286"/>
      <c r="D4" s="290"/>
    </row>
    <row r="5" spans="1:8" x14ac:dyDescent="0.2">
      <c r="A5" s="289" t="s">
        <v>387</v>
      </c>
      <c r="B5" s="289"/>
      <c r="C5" s="289"/>
      <c r="D5" s="289"/>
    </row>
    <row r="6" spans="1:8" x14ac:dyDescent="0.2">
      <c r="A6" s="291" t="s">
        <v>399</v>
      </c>
      <c r="B6" s="292"/>
      <c r="C6" s="292">
        <v>1064</v>
      </c>
      <c r="D6" s="290" t="s">
        <v>335</v>
      </c>
      <c r="E6" s="293">
        <f>C6</f>
        <v>1064</v>
      </c>
      <c r="F6" s="279">
        <f>E6/$E$41</f>
        <v>5.7450484524832687E-2</v>
      </c>
      <c r="G6" s="272">
        <v>0</v>
      </c>
      <c r="H6" s="272">
        <f>F6*G6</f>
        <v>0</v>
      </c>
    </row>
    <row r="7" spans="1:8" x14ac:dyDescent="0.2">
      <c r="A7" s="294"/>
      <c r="B7" s="295"/>
      <c r="C7" s="295"/>
      <c r="D7" s="296"/>
      <c r="F7" s="279"/>
    </row>
    <row r="8" spans="1:8" x14ac:dyDescent="0.2">
      <c r="A8" s="291" t="s">
        <v>411</v>
      </c>
      <c r="B8" s="297"/>
      <c r="C8" s="297"/>
      <c r="D8" s="298"/>
      <c r="F8" s="279"/>
    </row>
    <row r="9" spans="1:8" x14ac:dyDescent="0.2">
      <c r="A9" s="294" t="s">
        <v>412</v>
      </c>
      <c r="B9" s="299"/>
      <c r="C9" s="299">
        <v>500</v>
      </c>
      <c r="D9" s="296">
        <v>100.08</v>
      </c>
      <c r="E9" s="272">
        <f>C9*(D9/100)</f>
        <v>500.4</v>
      </c>
      <c r="F9" s="279">
        <f t="shared" ref="F9:F36" si="0">E9/$E$41</f>
        <v>2.7019006067881837E-2</v>
      </c>
      <c r="G9" s="300">
        <v>1.27</v>
      </c>
      <c r="H9" s="272">
        <f>F9*G9</f>
        <v>3.4314137706209932E-2</v>
      </c>
    </row>
    <row r="10" spans="1:8" x14ac:dyDescent="0.2">
      <c r="A10" s="301" t="s">
        <v>416</v>
      </c>
      <c r="B10" s="302"/>
      <c r="C10" s="302">
        <v>568.6</v>
      </c>
      <c r="D10" s="298">
        <v>100.7</v>
      </c>
      <c r="E10" s="272">
        <f t="shared" ref="E10:E36" si="1">C10*(D10/100)</f>
        <v>572.5802000000001</v>
      </c>
      <c r="F10" s="279">
        <f t="shared" si="0"/>
        <v>3.0916362706133092E-2</v>
      </c>
      <c r="G10" s="303">
        <v>0.06</v>
      </c>
      <c r="H10" s="272">
        <f t="shared" ref="H10:H36" si="2">F10*G10</f>
        <v>1.8549817623679855E-3</v>
      </c>
    </row>
    <row r="11" spans="1:8" x14ac:dyDescent="0.2">
      <c r="A11" s="294" t="s">
        <v>421</v>
      </c>
      <c r="B11" s="304"/>
      <c r="C11" s="304">
        <v>341.2</v>
      </c>
      <c r="D11" s="305">
        <v>101.33</v>
      </c>
      <c r="E11" s="272">
        <f t="shared" si="1"/>
        <v>345.73796000000004</v>
      </c>
      <c r="F11" s="279">
        <f t="shared" si="0"/>
        <v>1.8668057632168444E-2</v>
      </c>
      <c r="G11" s="306">
        <v>0.19</v>
      </c>
      <c r="H11" s="272">
        <f t="shared" si="2"/>
        <v>3.5469309501120045E-3</v>
      </c>
    </row>
    <row r="12" spans="1:8" x14ac:dyDescent="0.2">
      <c r="A12" s="301" t="s">
        <v>425</v>
      </c>
      <c r="B12" s="302"/>
      <c r="C12" s="302">
        <v>454.9</v>
      </c>
      <c r="D12" s="307">
        <v>99.43</v>
      </c>
      <c r="E12" s="272">
        <f t="shared" si="1"/>
        <v>452.30707000000001</v>
      </c>
      <c r="F12" s="279">
        <f t="shared" si="0"/>
        <v>2.4422237148033286E-2</v>
      </c>
      <c r="G12" s="308">
        <v>0.41</v>
      </c>
      <c r="H12" s="272">
        <f t="shared" si="2"/>
        <v>1.0013117230693647E-2</v>
      </c>
    </row>
    <row r="13" spans="1:8" x14ac:dyDescent="0.2">
      <c r="A13" s="294" t="s">
        <v>429</v>
      </c>
      <c r="B13" s="309"/>
      <c r="C13" s="309">
        <v>909.8</v>
      </c>
      <c r="D13" s="310">
        <v>100.58</v>
      </c>
      <c r="E13" s="272">
        <f t="shared" si="1"/>
        <v>915.07683999999995</v>
      </c>
      <c r="F13" s="279">
        <f t="shared" si="0"/>
        <v>4.9409405860387966E-2</v>
      </c>
      <c r="G13" s="306">
        <v>0.12</v>
      </c>
      <c r="H13" s="272">
        <f t="shared" si="2"/>
        <v>5.9291287032465553E-3</v>
      </c>
    </row>
    <row r="14" spans="1:8" x14ac:dyDescent="0.2">
      <c r="A14" s="301" t="s">
        <v>433</v>
      </c>
      <c r="B14" s="302"/>
      <c r="C14" s="302">
        <v>143.6</v>
      </c>
      <c r="D14" s="311">
        <v>101.59</v>
      </c>
      <c r="E14" s="272">
        <f t="shared" si="1"/>
        <v>145.88324</v>
      </c>
      <c r="F14" s="279">
        <f t="shared" si="0"/>
        <v>7.8769387425305006E-3</v>
      </c>
      <c r="G14" s="312">
        <v>3.01</v>
      </c>
      <c r="H14" s="272">
        <f t="shared" si="2"/>
        <v>2.3709585615016807E-2</v>
      </c>
    </row>
    <row r="15" spans="1:8" x14ac:dyDescent="0.2">
      <c r="A15" s="294" t="s">
        <v>437</v>
      </c>
      <c r="B15" s="313"/>
      <c r="C15" s="313">
        <v>875</v>
      </c>
      <c r="D15" s="314">
        <v>102.03</v>
      </c>
      <c r="E15" s="272">
        <f t="shared" si="1"/>
        <v>892.76249999999993</v>
      </c>
      <c r="F15" s="279">
        <f t="shared" si="0"/>
        <v>4.8204547171617422E-2</v>
      </c>
      <c r="G15" s="300">
        <v>2.88</v>
      </c>
      <c r="H15" s="272">
        <f t="shared" si="2"/>
        <v>0.13882909585425818</v>
      </c>
    </row>
    <row r="16" spans="1:8" x14ac:dyDescent="0.2">
      <c r="A16" s="301" t="s">
        <v>440</v>
      </c>
      <c r="B16" s="302"/>
      <c r="C16" s="302">
        <v>997.7</v>
      </c>
      <c r="D16" s="315">
        <v>101.4</v>
      </c>
      <c r="E16" s="272">
        <f t="shared" si="1"/>
        <v>1011.6678000000001</v>
      </c>
      <c r="F16" s="279">
        <f t="shared" si="0"/>
        <v>5.4624817000161217E-2</v>
      </c>
      <c r="G16" s="316">
        <v>2.65</v>
      </c>
      <c r="H16" s="272">
        <f t="shared" si="2"/>
        <v>0.14475576505042723</v>
      </c>
    </row>
    <row r="17" spans="1:8" x14ac:dyDescent="0.2">
      <c r="A17" s="294" t="s">
        <v>442</v>
      </c>
      <c r="B17" s="304"/>
      <c r="C17" s="304">
        <v>338.6</v>
      </c>
      <c r="D17" s="305">
        <v>101.66</v>
      </c>
      <c r="E17" s="272">
        <f t="shared" si="1"/>
        <v>344.22075999999998</v>
      </c>
      <c r="F17" s="279">
        <f t="shared" si="0"/>
        <v>1.8586136696904274E-2</v>
      </c>
      <c r="G17" s="300">
        <v>2.4300000000000002</v>
      </c>
      <c r="H17" s="272">
        <f t="shared" si="2"/>
        <v>4.516431217347739E-2</v>
      </c>
    </row>
    <row r="18" spans="1:8" x14ac:dyDescent="0.2">
      <c r="A18" s="301" t="s">
        <v>446</v>
      </c>
      <c r="B18" s="302"/>
      <c r="C18" s="302">
        <v>568.6</v>
      </c>
      <c r="D18" s="307">
        <v>96.85</v>
      </c>
      <c r="E18" s="272">
        <f t="shared" si="1"/>
        <v>550.68909999999994</v>
      </c>
      <c r="F18" s="279">
        <f t="shared" si="0"/>
        <v>2.9734356783406048E-2</v>
      </c>
      <c r="G18" s="308">
        <v>0.98</v>
      </c>
      <c r="H18" s="272">
        <f t="shared" si="2"/>
        <v>2.9139669647737926E-2</v>
      </c>
    </row>
    <row r="19" spans="1:8" x14ac:dyDescent="0.2">
      <c r="A19" s="294" t="s">
        <v>448</v>
      </c>
      <c r="B19" s="317"/>
      <c r="C19" s="317">
        <v>12.8</v>
      </c>
      <c r="D19" s="305">
        <v>107.32</v>
      </c>
      <c r="E19" s="272">
        <f t="shared" si="1"/>
        <v>13.73696</v>
      </c>
      <c r="F19" s="279">
        <f t="shared" si="0"/>
        <v>7.4172463148331359E-4</v>
      </c>
      <c r="G19" s="300">
        <v>4.93</v>
      </c>
      <c r="H19" s="272">
        <f t="shared" si="2"/>
        <v>3.6567024332127356E-3</v>
      </c>
    </row>
    <row r="20" spans="1:8" x14ac:dyDescent="0.2">
      <c r="A20" s="301" t="s">
        <v>452</v>
      </c>
      <c r="B20" s="318"/>
      <c r="C20" s="318">
        <v>134</v>
      </c>
      <c r="D20" s="319">
        <v>114.29</v>
      </c>
      <c r="E20" s="272">
        <f t="shared" si="1"/>
        <v>153.14860000000002</v>
      </c>
      <c r="F20" s="279">
        <f t="shared" si="0"/>
        <v>8.2692305209584507E-3</v>
      </c>
      <c r="G20" s="316">
        <v>3.39</v>
      </c>
      <c r="H20" s="272">
        <f t="shared" si="2"/>
        <v>2.8032691466049149E-2</v>
      </c>
    </row>
    <row r="21" spans="1:8" x14ac:dyDescent="0.2">
      <c r="A21" s="294" t="s">
        <v>454</v>
      </c>
      <c r="B21" s="304"/>
      <c r="C21" s="304">
        <v>568.6</v>
      </c>
      <c r="D21" s="305">
        <v>102.97</v>
      </c>
      <c r="E21" s="272">
        <f t="shared" si="1"/>
        <v>585.48742000000004</v>
      </c>
      <c r="F21" s="279">
        <f t="shared" si="0"/>
        <v>3.1613285678753968E-2</v>
      </c>
      <c r="G21" s="300">
        <v>1.21</v>
      </c>
      <c r="H21" s="272">
        <f t="shared" si="2"/>
        <v>3.8252075671292303E-2</v>
      </c>
    </row>
    <row r="22" spans="1:8" x14ac:dyDescent="0.2">
      <c r="A22" s="301" t="s">
        <v>455</v>
      </c>
      <c r="B22" s="302"/>
      <c r="C22" s="302">
        <v>682.3</v>
      </c>
      <c r="D22" s="320">
        <v>100.02</v>
      </c>
      <c r="E22" s="272">
        <f t="shared" si="1"/>
        <v>682.4364599999999</v>
      </c>
      <c r="F22" s="279">
        <f t="shared" si="0"/>
        <v>3.6848031282341723E-2</v>
      </c>
      <c r="G22" s="321">
        <v>1.2</v>
      </c>
      <c r="H22" s="272">
        <f t="shared" si="2"/>
        <v>4.4217637538810063E-2</v>
      </c>
    </row>
    <row r="23" spans="1:8" x14ac:dyDescent="0.2">
      <c r="A23" s="294" t="s">
        <v>458</v>
      </c>
      <c r="B23" s="313"/>
      <c r="C23" s="313">
        <v>168</v>
      </c>
      <c r="D23" s="322">
        <v>117.89</v>
      </c>
      <c r="E23" s="272">
        <f t="shared" si="1"/>
        <v>198.05520000000001</v>
      </c>
      <c r="F23" s="279">
        <f t="shared" si="0"/>
        <v>1.0693954137840831E-2</v>
      </c>
      <c r="G23" s="300">
        <v>3.33</v>
      </c>
      <c r="H23" s="272">
        <f t="shared" si="2"/>
        <v>3.5610867279009965E-2</v>
      </c>
    </row>
    <row r="24" spans="1:8" x14ac:dyDescent="0.2">
      <c r="A24" s="301" t="s">
        <v>461</v>
      </c>
      <c r="B24" s="323"/>
      <c r="C24" s="323">
        <v>1725</v>
      </c>
      <c r="D24" s="311">
        <v>102.53</v>
      </c>
      <c r="E24" s="272">
        <f t="shared" si="1"/>
        <v>1768.6425000000002</v>
      </c>
      <c r="F24" s="279">
        <f t="shared" si="0"/>
        <v>9.5497526857341544E-2</v>
      </c>
      <c r="G24" s="316">
        <v>3.14</v>
      </c>
      <c r="H24" s="272">
        <f t="shared" si="2"/>
        <v>0.29986223433205245</v>
      </c>
    </row>
    <row r="25" spans="1:8" x14ac:dyDescent="0.2">
      <c r="A25" s="294" t="s">
        <v>463</v>
      </c>
      <c r="B25" s="304"/>
      <c r="C25" s="304">
        <v>167.1</v>
      </c>
      <c r="D25" s="324">
        <v>117.2</v>
      </c>
      <c r="E25" s="272">
        <f t="shared" si="1"/>
        <v>195.84119999999999</v>
      </c>
      <c r="F25" s="279">
        <f t="shared" si="0"/>
        <v>1.0574409614590849E-2</v>
      </c>
      <c r="G25" s="300">
        <v>3.65</v>
      </c>
      <c r="H25" s="272">
        <f t="shared" si="2"/>
        <v>3.8596595093256594E-2</v>
      </c>
    </row>
    <row r="26" spans="1:8" x14ac:dyDescent="0.2">
      <c r="A26" s="301" t="s">
        <v>466</v>
      </c>
      <c r="B26" s="325"/>
      <c r="C26" s="325">
        <v>1023.5</v>
      </c>
      <c r="D26" s="307">
        <v>92.48</v>
      </c>
      <c r="E26" s="272">
        <f t="shared" si="1"/>
        <v>946.53280000000007</v>
      </c>
      <c r="F26" s="279">
        <f t="shared" si="0"/>
        <v>5.1107864641585107E-2</v>
      </c>
      <c r="G26" s="316">
        <v>1.57</v>
      </c>
      <c r="H26" s="272">
        <f t="shared" si="2"/>
        <v>8.0239347487288615E-2</v>
      </c>
    </row>
    <row r="27" spans="1:8" x14ac:dyDescent="0.2">
      <c r="A27" s="294" t="s">
        <v>468</v>
      </c>
      <c r="B27" s="326"/>
      <c r="C27" s="326">
        <v>750</v>
      </c>
      <c r="D27" s="327">
        <v>95.71</v>
      </c>
      <c r="E27" s="272">
        <f t="shared" si="1"/>
        <v>717.82499999999993</v>
      </c>
      <c r="F27" s="279">
        <f t="shared" si="0"/>
        <v>3.8758828998156032E-2</v>
      </c>
      <c r="G27" s="300">
        <v>3.43</v>
      </c>
      <c r="H27" s="272">
        <f t="shared" si="2"/>
        <v>0.13294278346367519</v>
      </c>
    </row>
    <row r="28" spans="1:8" x14ac:dyDescent="0.2">
      <c r="A28" s="301" t="s">
        <v>471</v>
      </c>
      <c r="B28" s="328"/>
      <c r="C28" s="328">
        <v>1000</v>
      </c>
      <c r="D28" s="329">
        <v>89</v>
      </c>
      <c r="E28" s="272">
        <f t="shared" si="1"/>
        <v>890</v>
      </c>
      <c r="F28" s="279">
        <f t="shared" si="0"/>
        <v>4.8055386491636362E-2</v>
      </c>
      <c r="G28" s="321">
        <v>3.4</v>
      </c>
      <c r="H28" s="272">
        <f t="shared" si="2"/>
        <v>0.16338831407156362</v>
      </c>
    </row>
    <row r="29" spans="1:8" x14ac:dyDescent="0.2">
      <c r="A29" s="294" t="s">
        <v>474</v>
      </c>
      <c r="B29" s="304"/>
      <c r="C29" s="304">
        <v>682.3</v>
      </c>
      <c r="D29" s="330">
        <v>88.1</v>
      </c>
      <c r="E29" s="272">
        <f t="shared" si="1"/>
        <v>601.10629999999992</v>
      </c>
      <c r="F29" s="279">
        <f t="shared" si="0"/>
        <v>3.2456624234896078E-2</v>
      </c>
      <c r="G29" s="331">
        <v>2.2000000000000002</v>
      </c>
      <c r="H29" s="272">
        <f t="shared" si="2"/>
        <v>7.1404573316771372E-2</v>
      </c>
    </row>
    <row r="30" spans="1:8" x14ac:dyDescent="0.2">
      <c r="A30" s="301" t="s">
        <v>477</v>
      </c>
      <c r="B30" s="332"/>
      <c r="C30" s="332">
        <v>250</v>
      </c>
      <c r="D30" s="319">
        <v>119.82</v>
      </c>
      <c r="E30" s="272">
        <f t="shared" si="1"/>
        <v>299.54999999999995</v>
      </c>
      <c r="F30" s="279">
        <f t="shared" si="0"/>
        <v>1.6174147217494012E-2</v>
      </c>
      <c r="G30" s="316">
        <v>4.3499999999999996</v>
      </c>
      <c r="H30" s="272">
        <f t="shared" si="2"/>
        <v>7.0357540396098942E-2</v>
      </c>
    </row>
    <row r="31" spans="1:8" x14ac:dyDescent="0.2">
      <c r="A31" s="294" t="s">
        <v>480</v>
      </c>
      <c r="B31" s="313"/>
      <c r="C31" s="313">
        <v>125</v>
      </c>
      <c r="D31" s="305">
        <v>108.32</v>
      </c>
      <c r="E31" s="272">
        <f t="shared" si="1"/>
        <v>135.4</v>
      </c>
      <c r="F31" s="279">
        <f t="shared" si="0"/>
        <v>7.3108981246826563E-3</v>
      </c>
      <c r="G31" s="300">
        <v>4.34</v>
      </c>
      <c r="H31" s="272">
        <f t="shared" si="2"/>
        <v>3.1729297861122725E-2</v>
      </c>
    </row>
    <row r="32" spans="1:8" x14ac:dyDescent="0.2">
      <c r="A32" s="301" t="s">
        <v>483</v>
      </c>
      <c r="B32" s="325"/>
      <c r="C32" s="325">
        <v>1023.5</v>
      </c>
      <c r="D32" s="333">
        <v>82.4</v>
      </c>
      <c r="E32" s="272">
        <f t="shared" si="1"/>
        <v>843.36400000000003</v>
      </c>
      <c r="F32" s="279">
        <f t="shared" si="0"/>
        <v>4.5537284239474618E-2</v>
      </c>
      <c r="G32" s="316">
        <v>2.48</v>
      </c>
      <c r="H32" s="272">
        <f t="shared" si="2"/>
        <v>0.11293246491389705</v>
      </c>
    </row>
    <row r="33" spans="1:8" x14ac:dyDescent="0.2">
      <c r="A33" s="294" t="s">
        <v>485</v>
      </c>
      <c r="B33" s="304"/>
      <c r="C33" s="304">
        <v>224.9</v>
      </c>
      <c r="D33" s="314">
        <v>108.04</v>
      </c>
      <c r="E33" s="272">
        <f t="shared" si="1"/>
        <v>242.98196000000002</v>
      </c>
      <c r="F33" s="279">
        <f t="shared" si="0"/>
        <v>1.311976629021947E-2</v>
      </c>
      <c r="G33" s="331">
        <v>4.3</v>
      </c>
      <c r="H33" s="272">
        <f t="shared" si="2"/>
        <v>5.6414995047943714E-2</v>
      </c>
    </row>
    <row r="34" spans="1:8" x14ac:dyDescent="0.2">
      <c r="A34" s="301" t="s">
        <v>487</v>
      </c>
      <c r="B34" s="334"/>
      <c r="C34" s="334">
        <v>1025</v>
      </c>
      <c r="D34" s="311">
        <v>107.85</v>
      </c>
      <c r="E34" s="272">
        <f t="shared" si="1"/>
        <v>1105.4625000000001</v>
      </c>
      <c r="F34" s="279">
        <f t="shared" si="0"/>
        <v>5.9689244594955698E-2</v>
      </c>
      <c r="G34" s="316">
        <v>4.1399999999999997</v>
      </c>
      <c r="H34" s="272">
        <f t="shared" si="2"/>
        <v>0.24711347262311656</v>
      </c>
    </row>
    <row r="35" spans="1:8" x14ac:dyDescent="0.2">
      <c r="A35" s="294" t="s">
        <v>489</v>
      </c>
      <c r="B35" s="335"/>
      <c r="C35" s="335">
        <v>1500</v>
      </c>
      <c r="D35" s="305">
        <v>108.67</v>
      </c>
      <c r="E35" s="272">
        <f t="shared" si="1"/>
        <v>1630.05</v>
      </c>
      <c r="F35" s="279">
        <f t="shared" si="0"/>
        <v>8.801425028167624E-2</v>
      </c>
      <c r="G35" s="300">
        <v>4.1100000000000003</v>
      </c>
      <c r="H35" s="272">
        <f t="shared" si="2"/>
        <v>0.36173856865768939</v>
      </c>
    </row>
    <row r="36" spans="1:8" x14ac:dyDescent="0.2">
      <c r="A36" s="301" t="s">
        <v>491</v>
      </c>
      <c r="B36" s="332"/>
      <c r="C36" s="332">
        <v>750</v>
      </c>
      <c r="D36" s="307">
        <v>95.38</v>
      </c>
      <c r="E36" s="272">
        <f t="shared" si="1"/>
        <v>715.35</v>
      </c>
      <c r="F36" s="279">
        <f t="shared" si="0"/>
        <v>3.8625191827856266E-2</v>
      </c>
      <c r="G36" s="312">
        <v>4.07</v>
      </c>
      <c r="H36" s="272">
        <f t="shared" si="2"/>
        <v>0.15720453073937501</v>
      </c>
    </row>
    <row r="37" spans="1:8" x14ac:dyDescent="0.2">
      <c r="A37" s="336" t="s">
        <v>402</v>
      </c>
      <c r="B37" s="337"/>
      <c r="C37" s="337">
        <v>-85.9</v>
      </c>
    </row>
    <row r="38" spans="1:8" x14ac:dyDescent="0.2">
      <c r="A38" s="301" t="s">
        <v>335</v>
      </c>
      <c r="B38" s="338"/>
      <c r="C38" s="338">
        <v>-85.9</v>
      </c>
    </row>
    <row r="39" spans="1:8" x14ac:dyDescent="0.2">
      <c r="A39" s="339"/>
      <c r="B39" s="340" t="s">
        <v>494</v>
      </c>
      <c r="E39" s="272">
        <f>SUM(E9:E36)</f>
        <v>17456.29637</v>
      </c>
      <c r="F39" s="272">
        <f>SUM(F6:F36)</f>
        <v>1</v>
      </c>
    </row>
    <row r="40" spans="1:8" x14ac:dyDescent="0.2">
      <c r="A40" s="341"/>
      <c r="B40" s="342" t="s">
        <v>497</v>
      </c>
      <c r="E40" s="293">
        <f>E6</f>
        <v>1064</v>
      </c>
      <c r="G40" s="286" t="s">
        <v>508</v>
      </c>
      <c r="H40" s="285">
        <f>SUM(H9:H36)</f>
        <v>2.4109514170857729</v>
      </c>
    </row>
    <row r="41" spans="1:8" x14ac:dyDescent="0.2">
      <c r="A41" s="339"/>
      <c r="B41" s="340" t="s">
        <v>498</v>
      </c>
      <c r="E41" s="343">
        <f>E40+E39</f>
        <v>18520.29637</v>
      </c>
    </row>
    <row r="42" spans="1:8" x14ac:dyDescent="0.2">
      <c r="A42" s="341"/>
      <c r="B42" s="341"/>
    </row>
    <row r="43" spans="1:8" x14ac:dyDescent="0.2">
      <c r="A43" s="339"/>
      <c r="B43" s="344"/>
    </row>
    <row r="45" spans="1:8" x14ac:dyDescent="0.2">
      <c r="A45" s="345"/>
    </row>
    <row r="46" spans="1:8" x14ac:dyDescent="0.2">
      <c r="A46" s="3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4428-EC3F-6D49-A57D-106097E2274D}">
  <dimension ref="A1:AE63"/>
  <sheetViews>
    <sheetView showGridLines="0" topLeftCell="E1" zoomScaleNormal="100" workbookViewId="0">
      <selection activeCell="V28" sqref="V28"/>
    </sheetView>
  </sheetViews>
  <sheetFormatPr baseColWidth="10" defaultColWidth="10.83203125" defaultRowHeight="14" x14ac:dyDescent="0.2"/>
  <cols>
    <col min="1" max="7" width="10.83203125" style="272"/>
    <col min="8" max="8" width="25" style="279" bestFit="1" customWidth="1"/>
    <col min="9" max="9" width="10.83203125" style="272"/>
    <col min="10" max="10" width="12.33203125" style="272" customWidth="1"/>
    <col min="11" max="15" width="10.83203125" style="272"/>
    <col min="16" max="16" width="17.33203125" style="272" bestFit="1" customWidth="1"/>
    <col min="17" max="17" width="10.83203125" style="272"/>
    <col min="18" max="18" width="25" style="279" bestFit="1" customWidth="1"/>
    <col min="19" max="19" width="13" style="279" bestFit="1" customWidth="1"/>
    <col min="20" max="22" width="10.83203125" style="272"/>
    <col min="23" max="23" width="22.5" style="272" bestFit="1" customWidth="1"/>
    <col min="24" max="24" width="9.83203125" style="272" customWidth="1"/>
    <col min="25" max="16384" width="10.83203125" style="272"/>
  </cols>
  <sheetData>
    <row r="1" spans="1:28" x14ac:dyDescent="0.2">
      <c r="A1" s="272" t="s">
        <v>382</v>
      </c>
      <c r="B1" s="272" t="s">
        <v>509</v>
      </c>
      <c r="C1" s="272" t="s">
        <v>510</v>
      </c>
      <c r="D1" s="272" t="s">
        <v>511</v>
      </c>
      <c r="E1" s="272" t="s">
        <v>512</v>
      </c>
      <c r="F1" s="272" t="s">
        <v>513</v>
      </c>
      <c r="G1" s="272" t="s">
        <v>514</v>
      </c>
      <c r="H1" s="274" t="s">
        <v>515</v>
      </c>
      <c r="J1" s="275" t="s">
        <v>382</v>
      </c>
      <c r="K1" s="275" t="s">
        <v>509</v>
      </c>
      <c r="L1" s="275" t="s">
        <v>510</v>
      </c>
      <c r="M1" s="275" t="s">
        <v>511</v>
      </c>
      <c r="N1" s="275" t="s">
        <v>516</v>
      </c>
      <c r="O1" s="275" t="s">
        <v>517</v>
      </c>
      <c r="P1" s="275" t="s">
        <v>514</v>
      </c>
      <c r="Q1" s="276"/>
      <c r="R1" s="274" t="s">
        <v>515</v>
      </c>
      <c r="S1" s="277" t="s">
        <v>518</v>
      </c>
    </row>
    <row r="2" spans="1:28" x14ac:dyDescent="0.2">
      <c r="A2" s="278">
        <v>42826</v>
      </c>
      <c r="B2" s="272">
        <v>184</v>
      </c>
      <c r="C2" s="272">
        <v>187.199997</v>
      </c>
      <c r="D2" s="272">
        <v>175.66000399999999</v>
      </c>
      <c r="E2" s="272">
        <v>186.970001</v>
      </c>
      <c r="F2" s="272">
        <v>174.965485</v>
      </c>
      <c r="G2" s="272">
        <v>31303400</v>
      </c>
      <c r="H2" s="279">
        <f>(F3-F2)/F2</f>
        <v>1.2087515431972258E-2</v>
      </c>
      <c r="J2" s="280">
        <v>42826</v>
      </c>
      <c r="K2" s="276">
        <v>2362.34</v>
      </c>
      <c r="L2" s="276">
        <v>2398.16</v>
      </c>
      <c r="M2" s="276">
        <v>2328.9499999999998</v>
      </c>
      <c r="N2" s="276">
        <v>2384.1999999999998</v>
      </c>
      <c r="O2" s="276">
        <v>2384.1999999999998</v>
      </c>
      <c r="P2" s="281">
        <v>65265670000</v>
      </c>
      <c r="Q2" s="276"/>
      <c r="R2" s="279">
        <v>1.2087515431972258E-2</v>
      </c>
      <c r="S2" s="279">
        <f>(O3-O2)/O2</f>
        <v>1.1576210049492646E-2</v>
      </c>
      <c r="T2" s="279"/>
      <c r="W2" s="272" t="s">
        <v>519</v>
      </c>
    </row>
    <row r="3" spans="1:28" ht="15" thickBot="1" x14ac:dyDescent="0.25">
      <c r="A3" s="278">
        <v>42856</v>
      </c>
      <c r="B3" s="272">
        <v>186.38000500000001</v>
      </c>
      <c r="C3" s="272">
        <v>190.71000699999999</v>
      </c>
      <c r="D3" s="272">
        <v>177.63999899999999</v>
      </c>
      <c r="E3" s="272">
        <v>189.229996</v>
      </c>
      <c r="F3" s="272">
        <v>177.08038300000001</v>
      </c>
      <c r="G3" s="272">
        <v>59044400</v>
      </c>
      <c r="H3" s="279">
        <f t="shared" ref="H3:H61" si="0">(F4-F3)/F3</f>
        <v>3.1073300761948221E-2</v>
      </c>
      <c r="J3" s="280">
        <v>42856</v>
      </c>
      <c r="K3" s="276">
        <v>2388.5</v>
      </c>
      <c r="L3" s="276">
        <v>2418.71</v>
      </c>
      <c r="M3" s="276">
        <v>2352.7199999999998</v>
      </c>
      <c r="N3" s="276">
        <v>2411.8000000000002</v>
      </c>
      <c r="O3" s="276">
        <v>2411.8000000000002</v>
      </c>
      <c r="P3" s="281">
        <v>79607170000</v>
      </c>
      <c r="Q3" s="276"/>
      <c r="R3" s="279">
        <v>3.1073300761948221E-2</v>
      </c>
      <c r="S3" s="279">
        <f t="shared" ref="S3:S61" si="1">(O4-O3)/O3</f>
        <v>4.81383199270241E-3</v>
      </c>
      <c r="T3" s="279"/>
    </row>
    <row r="4" spans="1:28" x14ac:dyDescent="0.2">
      <c r="A4" s="278">
        <v>42887</v>
      </c>
      <c r="B4" s="272">
        <v>188.36999499999999</v>
      </c>
      <c r="C4" s="272">
        <v>196.58999600000001</v>
      </c>
      <c r="D4" s="272">
        <v>188.300003</v>
      </c>
      <c r="E4" s="272">
        <v>195.11000100000001</v>
      </c>
      <c r="F4" s="272">
        <v>182.582855</v>
      </c>
      <c r="G4" s="272">
        <v>31272500</v>
      </c>
      <c r="H4" s="279">
        <f t="shared" si="0"/>
        <v>3.6180012630430192E-2</v>
      </c>
      <c r="J4" s="280">
        <v>42887</v>
      </c>
      <c r="K4" s="276">
        <v>2415.65</v>
      </c>
      <c r="L4" s="276">
        <v>2453.8200000000002</v>
      </c>
      <c r="M4" s="276">
        <v>2405.6999999999998</v>
      </c>
      <c r="N4" s="276">
        <v>2423.41</v>
      </c>
      <c r="O4" s="276">
        <v>2423.41</v>
      </c>
      <c r="P4" s="281">
        <v>81002490000</v>
      </c>
      <c r="Q4" s="276"/>
      <c r="R4" s="279">
        <v>3.6180012630430192E-2</v>
      </c>
      <c r="S4" s="279">
        <f t="shared" si="1"/>
        <v>1.9348768883515513E-2</v>
      </c>
      <c r="T4" s="279"/>
      <c r="W4" s="282" t="s">
        <v>520</v>
      </c>
      <c r="X4" s="282"/>
    </row>
    <row r="5" spans="1:28" x14ac:dyDescent="0.2">
      <c r="A5" s="278">
        <v>42917</v>
      </c>
      <c r="B5" s="272">
        <v>195.78999300000001</v>
      </c>
      <c r="C5" s="272">
        <v>206.63000500000001</v>
      </c>
      <c r="D5" s="272">
        <v>194.220001</v>
      </c>
      <c r="E5" s="272">
        <v>201.39999399999999</v>
      </c>
      <c r="F5" s="272">
        <v>189.188705</v>
      </c>
      <c r="G5" s="272">
        <v>22497400</v>
      </c>
      <c r="H5" s="279">
        <f t="shared" si="0"/>
        <v>-9.7319287639291291E-3</v>
      </c>
      <c r="J5" s="280">
        <v>42917</v>
      </c>
      <c r="K5" s="276">
        <v>2431.39</v>
      </c>
      <c r="L5" s="276">
        <v>2484.04</v>
      </c>
      <c r="M5" s="276">
        <v>2407.6999999999998</v>
      </c>
      <c r="N5" s="276">
        <v>2470.3000000000002</v>
      </c>
      <c r="O5" s="276">
        <v>2470.3000000000002</v>
      </c>
      <c r="P5" s="281">
        <v>63169400000</v>
      </c>
      <c r="Q5" s="276"/>
      <c r="R5" s="279">
        <v>-9.7319287639291291E-3</v>
      </c>
      <c r="S5" s="279">
        <f t="shared" si="1"/>
        <v>5.4649232886690234E-4</v>
      </c>
      <c r="T5" s="279"/>
      <c r="W5" s="272" t="s">
        <v>521</v>
      </c>
      <c r="X5" s="272">
        <v>0.48193511568733793</v>
      </c>
    </row>
    <row r="6" spans="1:28" x14ac:dyDescent="0.2">
      <c r="A6" s="278">
        <v>42948</v>
      </c>
      <c r="B6" s="272">
        <v>201.699997</v>
      </c>
      <c r="C6" s="272">
        <v>202.89999399999999</v>
      </c>
      <c r="D6" s="272">
        <v>192.33999600000001</v>
      </c>
      <c r="E6" s="272">
        <v>199.44000199999999</v>
      </c>
      <c r="F6" s="272">
        <v>187.347534</v>
      </c>
      <c r="G6" s="272">
        <v>25729600</v>
      </c>
      <c r="H6" s="279">
        <f t="shared" si="0"/>
        <v>-1.7498847889826002E-2</v>
      </c>
      <c r="J6" s="280">
        <v>42948</v>
      </c>
      <c r="K6" s="276">
        <v>2477.1</v>
      </c>
      <c r="L6" s="276">
        <v>2490.87</v>
      </c>
      <c r="M6" s="276">
        <v>2417.35</v>
      </c>
      <c r="N6" s="276">
        <v>2471.65</v>
      </c>
      <c r="O6" s="276">
        <v>2471.65</v>
      </c>
      <c r="P6" s="281">
        <v>70616030000</v>
      </c>
      <c r="Q6" s="276"/>
      <c r="R6" s="279">
        <v>-1.7498847889826002E-2</v>
      </c>
      <c r="S6" s="279">
        <f t="shared" si="1"/>
        <v>1.9302894827342074E-2</v>
      </c>
      <c r="T6" s="279"/>
      <c r="W6" s="272" t="s">
        <v>522</v>
      </c>
      <c r="X6" s="272">
        <v>0.23226145573256782</v>
      </c>
    </row>
    <row r="7" spans="1:28" x14ac:dyDescent="0.2">
      <c r="A7" s="278">
        <v>42979</v>
      </c>
      <c r="B7" s="272">
        <v>199.44000199999999</v>
      </c>
      <c r="C7" s="272">
        <v>204.86000100000001</v>
      </c>
      <c r="D7" s="272">
        <v>191.529999</v>
      </c>
      <c r="E7" s="272">
        <v>195.949997</v>
      </c>
      <c r="F7" s="272">
        <v>184.06916799999999</v>
      </c>
      <c r="G7" s="272">
        <v>23085100</v>
      </c>
      <c r="H7" s="279">
        <f t="shared" si="0"/>
        <v>6.8830739757567747E-2</v>
      </c>
      <c r="J7" s="280">
        <v>42979</v>
      </c>
      <c r="K7" s="276">
        <v>2474.42</v>
      </c>
      <c r="L7" s="276">
        <v>2519.44</v>
      </c>
      <c r="M7" s="276">
        <v>2446.5500000000002</v>
      </c>
      <c r="N7" s="276">
        <v>2519.36</v>
      </c>
      <c r="O7" s="276">
        <v>2519.36</v>
      </c>
      <c r="P7" s="281">
        <v>66337980000</v>
      </c>
      <c r="Q7" s="276"/>
      <c r="R7" s="279">
        <v>6.8830739757567747E-2</v>
      </c>
      <c r="S7" s="279">
        <f t="shared" si="1"/>
        <v>2.218817477454595E-2</v>
      </c>
      <c r="T7" s="279"/>
      <c r="W7" s="272" t="s">
        <v>523</v>
      </c>
      <c r="X7" s="272">
        <v>0.21902458427968105</v>
      </c>
    </row>
    <row r="8" spans="1:28" x14ac:dyDescent="0.2">
      <c r="A8" s="278">
        <v>43009</v>
      </c>
      <c r="B8" s="272">
        <v>196.91000399999999</v>
      </c>
      <c r="C8" s="272">
        <v>214.720001</v>
      </c>
      <c r="D8" s="272">
        <v>193.050003</v>
      </c>
      <c r="E8" s="272">
        <v>208.66999799999999</v>
      </c>
      <c r="F8" s="272">
        <v>196.73878500000001</v>
      </c>
      <c r="G8" s="272">
        <v>25966300</v>
      </c>
      <c r="H8" s="279">
        <f t="shared" si="0"/>
        <v>9.3640712480764693E-2</v>
      </c>
      <c r="J8" s="280">
        <v>43009</v>
      </c>
      <c r="K8" s="276">
        <v>2521.1999999999998</v>
      </c>
      <c r="L8" s="276">
        <v>2582.98</v>
      </c>
      <c r="M8" s="276">
        <v>2520.4</v>
      </c>
      <c r="N8" s="276">
        <v>2575.2600000000002</v>
      </c>
      <c r="O8" s="276">
        <v>2575.2600000000002</v>
      </c>
      <c r="P8" s="281">
        <v>70871570000</v>
      </c>
      <c r="Q8" s="276"/>
      <c r="R8" s="279">
        <v>9.3640712480764693E-2</v>
      </c>
      <c r="S8" s="279">
        <f t="shared" si="1"/>
        <v>2.8082601368405406E-2</v>
      </c>
      <c r="T8" s="279"/>
      <c r="W8" s="272" t="s">
        <v>524</v>
      </c>
      <c r="X8" s="272">
        <v>5.5500730963932821E-2</v>
      </c>
    </row>
    <row r="9" spans="1:28" ht="15" thickBot="1" x14ac:dyDescent="0.25">
      <c r="A9" s="278">
        <v>43040</v>
      </c>
      <c r="B9" s="272">
        <v>207.529999</v>
      </c>
      <c r="C9" s="272">
        <v>228.800003</v>
      </c>
      <c r="D9" s="272">
        <v>203.990005</v>
      </c>
      <c r="E9" s="272">
        <v>228.21000699999999</v>
      </c>
      <c r="F9" s="272">
        <v>215.16154499999999</v>
      </c>
      <c r="G9" s="272">
        <v>26588300</v>
      </c>
      <c r="H9" s="279">
        <f t="shared" si="0"/>
        <v>-6.2004379081773191E-2</v>
      </c>
      <c r="J9" s="280">
        <v>43040</v>
      </c>
      <c r="K9" s="276">
        <v>2583.21</v>
      </c>
      <c r="L9" s="276">
        <v>2657.74</v>
      </c>
      <c r="M9" s="276">
        <v>2557.4499999999998</v>
      </c>
      <c r="N9" s="276">
        <v>2647.58</v>
      </c>
      <c r="O9" s="276">
        <v>2647.58</v>
      </c>
      <c r="P9" s="281">
        <v>73173260000</v>
      </c>
      <c r="Q9" s="276"/>
      <c r="R9" s="279">
        <v>-6.2004379081773191E-2</v>
      </c>
      <c r="S9" s="279">
        <f t="shared" si="1"/>
        <v>9.8316198188535195E-3</v>
      </c>
      <c r="T9" s="279"/>
      <c r="W9" s="283" t="s">
        <v>525</v>
      </c>
      <c r="X9" s="283">
        <v>60</v>
      </c>
    </row>
    <row r="10" spans="1:28" x14ac:dyDescent="0.2">
      <c r="A10" s="278">
        <v>43070</v>
      </c>
      <c r="B10" s="272">
        <v>228.270004</v>
      </c>
      <c r="C10" s="272">
        <v>229.69000199999999</v>
      </c>
      <c r="D10" s="272">
        <v>213.949997</v>
      </c>
      <c r="E10" s="272">
        <v>214.05999800000001</v>
      </c>
      <c r="F10" s="272">
        <v>201.82058699999999</v>
      </c>
      <c r="G10" s="272">
        <v>25016300</v>
      </c>
      <c r="H10" s="279">
        <f t="shared" si="0"/>
        <v>0.13881707716963482</v>
      </c>
      <c r="J10" s="280">
        <v>43070</v>
      </c>
      <c r="K10" s="276">
        <v>2645.1</v>
      </c>
      <c r="L10" s="276">
        <v>2694.97</v>
      </c>
      <c r="M10" s="276">
        <v>2605.52</v>
      </c>
      <c r="N10" s="276">
        <v>2673.61</v>
      </c>
      <c r="O10" s="276">
        <v>2673.61</v>
      </c>
      <c r="P10" s="281">
        <v>65251190000</v>
      </c>
      <c r="Q10" s="276"/>
      <c r="R10" s="279">
        <v>0.13881707716963482</v>
      </c>
      <c r="S10" s="279">
        <f t="shared" si="1"/>
        <v>5.6178724645703677E-2</v>
      </c>
      <c r="T10" s="279"/>
    </row>
    <row r="11" spans="1:28" ht="15" thickBot="1" x14ac:dyDescent="0.25">
      <c r="A11" s="278">
        <v>43101</v>
      </c>
      <c r="B11" s="272">
        <v>215.08999600000001</v>
      </c>
      <c r="C11" s="272">
        <v>248.38999899999999</v>
      </c>
      <c r="D11" s="272">
        <v>215.08999600000001</v>
      </c>
      <c r="E11" s="272">
        <v>242.94000199999999</v>
      </c>
      <c r="F11" s="272">
        <v>229.83673099999999</v>
      </c>
      <c r="G11" s="272">
        <v>31718400</v>
      </c>
      <c r="H11" s="279">
        <f t="shared" si="0"/>
        <v>-8.6112006178855671E-2</v>
      </c>
      <c r="J11" s="280">
        <v>43101</v>
      </c>
      <c r="K11" s="276">
        <v>2683.73</v>
      </c>
      <c r="L11" s="276">
        <v>2872.87</v>
      </c>
      <c r="M11" s="276">
        <v>2682.36</v>
      </c>
      <c r="N11" s="276">
        <v>2823.81</v>
      </c>
      <c r="O11" s="276">
        <v>2823.81</v>
      </c>
      <c r="P11" s="281">
        <v>76860120000</v>
      </c>
      <c r="Q11" s="276"/>
      <c r="R11" s="279">
        <v>-8.6112006178855671E-2</v>
      </c>
      <c r="S11" s="279">
        <f t="shared" si="1"/>
        <v>-3.8947379604151844E-2</v>
      </c>
      <c r="T11" s="279"/>
      <c r="W11" s="272" t="s">
        <v>526</v>
      </c>
    </row>
    <row r="12" spans="1:28" x14ac:dyDescent="0.2">
      <c r="A12" s="278">
        <v>43132</v>
      </c>
      <c r="B12" s="272">
        <v>241.08000200000001</v>
      </c>
      <c r="C12" s="272">
        <v>243.509995</v>
      </c>
      <c r="D12" s="272">
        <v>209.91000399999999</v>
      </c>
      <c r="E12" s="272">
        <v>222.020004</v>
      </c>
      <c r="F12" s="272">
        <v>210.045029</v>
      </c>
      <c r="G12" s="272">
        <v>29950400</v>
      </c>
      <c r="H12" s="279">
        <f t="shared" si="0"/>
        <v>-2.396170013621227E-2</v>
      </c>
      <c r="J12" s="280">
        <v>43132</v>
      </c>
      <c r="K12" s="276">
        <v>2816.45</v>
      </c>
      <c r="L12" s="276">
        <v>2835.96</v>
      </c>
      <c r="M12" s="276">
        <v>2532.69</v>
      </c>
      <c r="N12" s="276">
        <v>2713.83</v>
      </c>
      <c r="O12" s="276">
        <v>2713.83</v>
      </c>
      <c r="P12" s="281">
        <v>79579410000</v>
      </c>
      <c r="Q12" s="276"/>
      <c r="R12" s="279">
        <v>-2.396170013621227E-2</v>
      </c>
      <c r="S12" s="279">
        <f t="shared" si="1"/>
        <v>-2.6884513768364281E-2</v>
      </c>
      <c r="T12" s="279"/>
      <c r="W12" s="284"/>
      <c r="X12" s="284" t="s">
        <v>527</v>
      </c>
      <c r="Y12" s="284" t="s">
        <v>528</v>
      </c>
      <c r="Z12" s="284" t="s">
        <v>529</v>
      </c>
      <c r="AA12" s="284" t="s">
        <v>530</v>
      </c>
      <c r="AB12" s="284" t="s">
        <v>531</v>
      </c>
    </row>
    <row r="13" spans="1:28" x14ac:dyDescent="0.2">
      <c r="A13" s="278">
        <v>43160</v>
      </c>
      <c r="B13" s="272">
        <v>221.60000600000001</v>
      </c>
      <c r="C13" s="272">
        <v>227.800003</v>
      </c>
      <c r="D13" s="272">
        <v>210.38999899999999</v>
      </c>
      <c r="E13" s="272">
        <v>216.699997</v>
      </c>
      <c r="F13" s="272">
        <v>205.01199299999999</v>
      </c>
      <c r="G13" s="272">
        <v>25411700</v>
      </c>
      <c r="H13" s="279">
        <f t="shared" si="0"/>
        <v>7.3680084657291228E-2</v>
      </c>
      <c r="J13" s="280">
        <v>43160</v>
      </c>
      <c r="K13" s="276">
        <v>2715.22</v>
      </c>
      <c r="L13" s="276">
        <v>2801.9</v>
      </c>
      <c r="M13" s="276">
        <v>2585.89</v>
      </c>
      <c r="N13" s="276">
        <v>2640.87</v>
      </c>
      <c r="O13" s="276">
        <v>2640.87</v>
      </c>
      <c r="P13" s="281">
        <v>76369800000</v>
      </c>
      <c r="Q13" s="276"/>
      <c r="R13" s="279">
        <v>7.3680084657291228E-2</v>
      </c>
      <c r="S13" s="279">
        <f t="shared" si="1"/>
        <v>2.718801001185326E-3</v>
      </c>
      <c r="T13" s="279"/>
      <c r="W13" s="272" t="s">
        <v>532</v>
      </c>
      <c r="X13" s="272">
        <v>1</v>
      </c>
      <c r="Y13" s="272">
        <v>5.4049191056036505E-2</v>
      </c>
      <c r="Z13" s="272">
        <v>5.4049191056036505E-2</v>
      </c>
      <c r="AA13" s="272">
        <v>17.546552186386542</v>
      </c>
      <c r="AB13" s="272">
        <v>9.6648144794923447E-5</v>
      </c>
    </row>
    <row r="14" spans="1:28" x14ac:dyDescent="0.2">
      <c r="A14" s="278">
        <v>43191</v>
      </c>
      <c r="B14" s="272">
        <v>215.990005</v>
      </c>
      <c r="C14" s="272">
        <v>236.13000500000001</v>
      </c>
      <c r="D14" s="272">
        <v>210.21000699999999</v>
      </c>
      <c r="E14" s="272">
        <v>231.86999499999999</v>
      </c>
      <c r="F14" s="272">
        <v>220.11729399999999</v>
      </c>
      <c r="G14" s="272">
        <v>23710200</v>
      </c>
      <c r="H14" s="279">
        <f t="shared" si="0"/>
        <v>-4.4335394201238866E-2</v>
      </c>
      <c r="J14" s="280">
        <v>43191</v>
      </c>
      <c r="K14" s="276">
        <v>2633.45</v>
      </c>
      <c r="L14" s="276">
        <v>2717.49</v>
      </c>
      <c r="M14" s="276">
        <v>2553.8000000000002</v>
      </c>
      <c r="N14" s="276">
        <v>2648.05</v>
      </c>
      <c r="O14" s="276">
        <v>2648.05</v>
      </c>
      <c r="P14" s="281">
        <v>69648590000</v>
      </c>
      <c r="Q14" s="276"/>
      <c r="R14" s="279">
        <v>-4.4335394201238866E-2</v>
      </c>
      <c r="S14" s="279">
        <f t="shared" si="1"/>
        <v>2.1608353316591378E-2</v>
      </c>
      <c r="T14" s="279"/>
      <c r="W14" s="272" t="s">
        <v>533</v>
      </c>
      <c r="X14" s="272">
        <v>58</v>
      </c>
      <c r="Y14" s="272">
        <v>0.17865920597678939</v>
      </c>
      <c r="Z14" s="272">
        <v>3.0803311375308517E-3</v>
      </c>
    </row>
    <row r="15" spans="1:28" ht="15" thickBot="1" x14ac:dyDescent="0.25">
      <c r="A15" s="278">
        <v>43221</v>
      </c>
      <c r="B15" s="272">
        <v>230.770004</v>
      </c>
      <c r="C15" s="272">
        <v>234.10000600000001</v>
      </c>
      <c r="D15" s="272">
        <v>218.60000600000001</v>
      </c>
      <c r="E15" s="272">
        <v>221.58999600000001</v>
      </c>
      <c r="F15" s="272">
        <v>210.358307</v>
      </c>
      <c r="G15" s="272">
        <v>28300000</v>
      </c>
      <c r="H15" s="279">
        <f t="shared" si="0"/>
        <v>8.1095865636530359E-2</v>
      </c>
      <c r="J15" s="280">
        <v>43221</v>
      </c>
      <c r="K15" s="276">
        <v>2642.96</v>
      </c>
      <c r="L15" s="276">
        <v>2742.24</v>
      </c>
      <c r="M15" s="276">
        <v>2594.62</v>
      </c>
      <c r="N15" s="276">
        <v>2705.27</v>
      </c>
      <c r="O15" s="276">
        <v>2705.27</v>
      </c>
      <c r="P15" s="281">
        <v>75617280000</v>
      </c>
      <c r="Q15" s="276"/>
      <c r="R15" s="279">
        <v>8.1095865636530359E-2</v>
      </c>
      <c r="S15" s="279">
        <f t="shared" si="1"/>
        <v>4.842400204046143E-3</v>
      </c>
      <c r="T15" s="279"/>
      <c r="W15" s="283" t="s">
        <v>334</v>
      </c>
      <c r="X15" s="283">
        <v>59</v>
      </c>
      <c r="Y15" s="283">
        <v>0.23270839703282589</v>
      </c>
      <c r="Z15" s="283"/>
      <c r="AA15" s="283"/>
      <c r="AB15" s="283"/>
    </row>
    <row r="16" spans="1:28" x14ac:dyDescent="0.2">
      <c r="A16" s="278">
        <v>43252</v>
      </c>
      <c r="B16" s="272">
        <v>223.320007</v>
      </c>
      <c r="C16" s="272">
        <v>242.63999899999999</v>
      </c>
      <c r="D16" s="272">
        <v>223.03999300000001</v>
      </c>
      <c r="E16" s="272">
        <v>239.55999800000001</v>
      </c>
      <c r="F16" s="272">
        <v>227.417496</v>
      </c>
      <c r="G16" s="272">
        <v>24768500</v>
      </c>
      <c r="H16" s="279">
        <f t="shared" si="0"/>
        <v>4.8519617857370134E-2</v>
      </c>
      <c r="J16" s="280">
        <v>43252</v>
      </c>
      <c r="K16" s="276">
        <v>2718.7</v>
      </c>
      <c r="L16" s="276">
        <v>2791.47</v>
      </c>
      <c r="M16" s="276">
        <v>2691.99</v>
      </c>
      <c r="N16" s="276">
        <v>2718.37</v>
      </c>
      <c r="O16" s="276">
        <v>2718.37</v>
      </c>
      <c r="P16" s="281">
        <v>77439710000</v>
      </c>
      <c r="Q16" s="276"/>
      <c r="R16" s="279">
        <v>4.8519617857370134E-2</v>
      </c>
      <c r="S16" s="279">
        <f t="shared" si="1"/>
        <v>3.6021586465418642E-2</v>
      </c>
      <c r="T16" s="279"/>
    </row>
    <row r="17" spans="1:31" x14ac:dyDescent="0.2">
      <c r="A17" s="278">
        <v>43282</v>
      </c>
      <c r="B17" s="272">
        <v>237.449997</v>
      </c>
      <c r="C17" s="272">
        <v>252.740005</v>
      </c>
      <c r="D17" s="272">
        <v>235.33000200000001</v>
      </c>
      <c r="E17" s="272">
        <v>250.36999499999999</v>
      </c>
      <c r="F17" s="272">
        <v>238.451706</v>
      </c>
      <c r="G17" s="272">
        <v>17394900</v>
      </c>
      <c r="H17" s="279">
        <f t="shared" si="0"/>
        <v>4.5931984231641458E-2</v>
      </c>
      <c r="J17" s="280">
        <v>43282</v>
      </c>
      <c r="K17" s="276">
        <v>2704.95</v>
      </c>
      <c r="L17" s="276">
        <v>2848.03</v>
      </c>
      <c r="M17" s="276">
        <v>2698.95</v>
      </c>
      <c r="N17" s="276">
        <v>2816.29</v>
      </c>
      <c r="O17" s="276">
        <v>2816.29</v>
      </c>
      <c r="P17" s="281">
        <v>64542170000</v>
      </c>
      <c r="Q17" s="276"/>
      <c r="R17" s="279">
        <v>4.5931984231641458E-2</v>
      </c>
      <c r="S17" s="279">
        <f t="shared" si="1"/>
        <v>3.0263218631603996E-2</v>
      </c>
      <c r="T17" s="279"/>
      <c r="X17" s="272" t="s">
        <v>534</v>
      </c>
      <c r="Y17" s="272" t="s">
        <v>524</v>
      </c>
      <c r="Z17" s="272" t="s">
        <v>535</v>
      </c>
      <c r="AA17" s="272" t="s">
        <v>536</v>
      </c>
      <c r="AB17" s="272" t="s">
        <v>537</v>
      </c>
      <c r="AC17" s="272" t="s">
        <v>538</v>
      </c>
      <c r="AD17" s="272" t="s">
        <v>539</v>
      </c>
      <c r="AE17" s="272" t="s">
        <v>540</v>
      </c>
    </row>
    <row r="18" spans="1:31" x14ac:dyDescent="0.2">
      <c r="A18" s="278">
        <v>43313</v>
      </c>
      <c r="B18" s="272">
        <v>250.050003</v>
      </c>
      <c r="C18" s="272">
        <v>262.67001299999998</v>
      </c>
      <c r="D18" s="272">
        <v>239.800003</v>
      </c>
      <c r="E18" s="272">
        <v>261.86999500000002</v>
      </c>
      <c r="F18" s="272">
        <v>249.40426600000001</v>
      </c>
      <c r="G18" s="272">
        <v>18975800</v>
      </c>
      <c r="H18" s="279">
        <f t="shared" si="0"/>
        <v>-3.3222446964881166E-3</v>
      </c>
      <c r="J18" s="280">
        <v>43313</v>
      </c>
      <c r="K18" s="276">
        <v>2821.17</v>
      </c>
      <c r="L18" s="276">
        <v>2916.5</v>
      </c>
      <c r="M18" s="276">
        <v>2796.34</v>
      </c>
      <c r="N18" s="276">
        <v>2901.52</v>
      </c>
      <c r="O18" s="276">
        <v>2901.52</v>
      </c>
      <c r="P18" s="281">
        <v>69238220000</v>
      </c>
      <c r="Q18" s="276"/>
      <c r="R18" s="279">
        <v>-3.3222446964881166E-3</v>
      </c>
      <c r="S18" s="279">
        <f t="shared" si="1"/>
        <v>4.2943009181394707E-3</v>
      </c>
      <c r="T18" s="279"/>
      <c r="W18" s="272" t="s">
        <v>541</v>
      </c>
      <c r="X18" s="272">
        <v>1.0137531986142223E-3</v>
      </c>
      <c r="Y18" s="272">
        <v>7.3955371163175179E-3</v>
      </c>
      <c r="Z18" s="272">
        <v>0.13707634518897574</v>
      </c>
      <c r="AA18" s="272">
        <v>0.89144518334981804</v>
      </c>
      <c r="AB18" s="272">
        <v>-1.3790022751763588E-2</v>
      </c>
      <c r="AC18" s="272">
        <v>1.5817529148992031E-2</v>
      </c>
      <c r="AD18" s="272">
        <v>-1.3790022751763588E-2</v>
      </c>
      <c r="AE18" s="272">
        <v>1.5817529148992031E-2</v>
      </c>
    </row>
    <row r="19" spans="1:31" x14ac:dyDescent="0.2">
      <c r="A19" s="278">
        <v>43344</v>
      </c>
      <c r="B19" s="272">
        <v>262.14001500000001</v>
      </c>
      <c r="C19" s="272">
        <v>264.47000100000002</v>
      </c>
      <c r="D19" s="272">
        <v>253.21000699999999</v>
      </c>
      <c r="E19" s="272">
        <v>261</v>
      </c>
      <c r="F19" s="272">
        <v>248.575684</v>
      </c>
      <c r="G19" s="272">
        <v>18208600</v>
      </c>
      <c r="H19" s="279">
        <f t="shared" si="0"/>
        <v>-0.11427925508594793</v>
      </c>
      <c r="J19" s="280">
        <v>43344</v>
      </c>
      <c r="K19" s="276">
        <v>2896.96</v>
      </c>
      <c r="L19" s="276">
        <v>2940.91</v>
      </c>
      <c r="M19" s="276">
        <v>2864.12</v>
      </c>
      <c r="N19" s="276">
        <v>2913.98</v>
      </c>
      <c r="O19" s="276">
        <v>2913.98</v>
      </c>
      <c r="P19" s="281">
        <v>62492080000</v>
      </c>
      <c r="Q19" s="276"/>
      <c r="R19" s="279">
        <v>-0.11427925508594793</v>
      </c>
      <c r="S19" s="279">
        <f t="shared" si="1"/>
        <v>-6.9403358979814631E-2</v>
      </c>
      <c r="T19" s="279"/>
      <c r="W19" s="272" t="s">
        <v>518</v>
      </c>
      <c r="X19" s="285">
        <v>0.66554845392080408</v>
      </c>
      <c r="Y19" s="272">
        <v>0.15888532355199092</v>
      </c>
      <c r="Z19" s="272">
        <v>4.1888604878160525</v>
      </c>
      <c r="AA19" s="272">
        <v>9.6648144794923691E-5</v>
      </c>
      <c r="AB19" s="272">
        <v>0.34750492379271114</v>
      </c>
      <c r="AC19" s="272">
        <v>0.98359198404889703</v>
      </c>
      <c r="AD19" s="272">
        <v>0.34750492379271114</v>
      </c>
      <c r="AE19" s="272">
        <v>0.98359198404889703</v>
      </c>
    </row>
    <row r="20" spans="1:31" x14ac:dyDescent="0.2">
      <c r="A20" s="278">
        <v>43374</v>
      </c>
      <c r="B20" s="272">
        <v>262</v>
      </c>
      <c r="C20" s="272">
        <v>265.86999500000002</v>
      </c>
      <c r="D20" s="272">
        <v>225.33999600000001</v>
      </c>
      <c r="E20" s="272">
        <v>230.5</v>
      </c>
      <c r="F20" s="272">
        <v>220.16864000000001</v>
      </c>
      <c r="G20" s="272">
        <v>26192800</v>
      </c>
      <c r="H20" s="279">
        <f t="shared" si="0"/>
        <v>9.652932860919694E-2</v>
      </c>
      <c r="J20" s="280">
        <v>43374</v>
      </c>
      <c r="K20" s="276">
        <v>2926.29</v>
      </c>
      <c r="L20" s="276">
        <v>2939.86</v>
      </c>
      <c r="M20" s="276">
        <v>2603.54</v>
      </c>
      <c r="N20" s="276">
        <v>2711.74</v>
      </c>
      <c r="O20" s="276">
        <v>2711.74</v>
      </c>
      <c r="P20" s="281">
        <v>91327930000</v>
      </c>
      <c r="Q20" s="276"/>
      <c r="R20" s="279">
        <v>9.652932860919694E-2</v>
      </c>
      <c r="S20" s="279">
        <f t="shared" si="1"/>
        <v>1.7859381799140144E-2</v>
      </c>
      <c r="T20" s="279"/>
    </row>
    <row r="21" spans="1:31" x14ac:dyDescent="0.2">
      <c r="A21" s="278">
        <v>43405</v>
      </c>
      <c r="B21" s="272">
        <v>230.08000200000001</v>
      </c>
      <c r="C21" s="272">
        <v>253.320007</v>
      </c>
      <c r="D21" s="272">
        <v>225</v>
      </c>
      <c r="E21" s="272">
        <v>252.75</v>
      </c>
      <c r="F21" s="272">
        <v>241.42137099999999</v>
      </c>
      <c r="G21" s="272">
        <v>26747700</v>
      </c>
      <c r="H21" s="279">
        <f t="shared" si="0"/>
        <v>-0.10852601777329815</v>
      </c>
      <c r="J21" s="280">
        <v>43405</v>
      </c>
      <c r="K21" s="276">
        <v>2717.58</v>
      </c>
      <c r="L21" s="276">
        <v>2815.15</v>
      </c>
      <c r="M21" s="276">
        <v>2631.09</v>
      </c>
      <c r="N21" s="276">
        <v>2760.17</v>
      </c>
      <c r="O21" s="276">
        <v>2760.17</v>
      </c>
      <c r="P21" s="281">
        <v>80080110000</v>
      </c>
      <c r="Q21" s="276"/>
      <c r="R21" s="279">
        <v>-0.10852601777329815</v>
      </c>
      <c r="S21" s="279">
        <f t="shared" si="1"/>
        <v>-9.1776955767217297E-2</v>
      </c>
      <c r="T21" s="279"/>
      <c r="W21" s="272" t="s">
        <v>542</v>
      </c>
      <c r="X21" s="279">
        <v>2.47E-2</v>
      </c>
      <c r="Y21" s="249" t="s">
        <v>89</v>
      </c>
    </row>
    <row r="22" spans="1:31" x14ac:dyDescent="0.2">
      <c r="A22" s="278">
        <v>43435</v>
      </c>
      <c r="B22" s="272">
        <v>253.94000199999999</v>
      </c>
      <c r="C22" s="272">
        <v>256.040009</v>
      </c>
      <c r="D22" s="272">
        <v>208.61999499999999</v>
      </c>
      <c r="E22" s="272">
        <v>225.320007</v>
      </c>
      <c r="F22" s="272">
        <v>215.22087099999999</v>
      </c>
      <c r="G22" s="272">
        <v>24604600</v>
      </c>
      <c r="H22" s="279">
        <f t="shared" si="0"/>
        <v>0.11068164016490763</v>
      </c>
      <c r="J22" s="280">
        <v>43435</v>
      </c>
      <c r="K22" s="276">
        <v>2790.5</v>
      </c>
      <c r="L22" s="276">
        <v>2800.18</v>
      </c>
      <c r="M22" s="276">
        <v>2346.58</v>
      </c>
      <c r="N22" s="276">
        <v>2506.85</v>
      </c>
      <c r="O22" s="276">
        <v>2506.85</v>
      </c>
      <c r="P22" s="281">
        <v>83522570000</v>
      </c>
      <c r="Q22" s="276"/>
      <c r="R22" s="279">
        <v>0.11068164016490763</v>
      </c>
      <c r="S22" s="279">
        <f t="shared" si="1"/>
        <v>7.8684404731036967E-2</v>
      </c>
      <c r="T22" s="279"/>
      <c r="W22" s="272" t="s">
        <v>543</v>
      </c>
      <c r="X22" s="279">
        <v>5.5E-2</v>
      </c>
      <c r="Y22" s="249" t="s">
        <v>544</v>
      </c>
    </row>
    <row r="23" spans="1:31" x14ac:dyDescent="0.2">
      <c r="A23" s="278">
        <v>43466</v>
      </c>
      <c r="B23" s="272">
        <v>221.970001</v>
      </c>
      <c r="C23" s="272">
        <v>249.86999499999999</v>
      </c>
      <c r="D23" s="272">
        <v>210.720001</v>
      </c>
      <c r="E23" s="272">
        <v>249.46000699999999</v>
      </c>
      <c r="F23" s="272">
        <v>239.04186999999999</v>
      </c>
      <c r="G23" s="272">
        <v>24353700</v>
      </c>
      <c r="H23" s="279">
        <f t="shared" si="0"/>
        <v>-2.6858432792547164E-3</v>
      </c>
      <c r="J23" s="280">
        <v>43466</v>
      </c>
      <c r="K23" s="276">
        <v>2476.96</v>
      </c>
      <c r="L23" s="276">
        <v>2708.95</v>
      </c>
      <c r="M23" s="276">
        <v>2443.96</v>
      </c>
      <c r="N23" s="276">
        <v>2704.1</v>
      </c>
      <c r="O23" s="276">
        <v>2704.1</v>
      </c>
      <c r="P23" s="281">
        <v>80401630000</v>
      </c>
      <c r="Q23" s="276"/>
      <c r="R23" s="279">
        <v>-2.6858432792547164E-3</v>
      </c>
      <c r="S23" s="279">
        <f t="shared" si="1"/>
        <v>2.9728930143115964E-2</v>
      </c>
      <c r="T23" s="279"/>
    </row>
    <row r="24" spans="1:31" x14ac:dyDescent="0.2">
      <c r="A24" s="278">
        <v>43497</v>
      </c>
      <c r="B24" s="272">
        <v>249.270004</v>
      </c>
      <c r="C24" s="272">
        <v>254</v>
      </c>
      <c r="D24" s="272">
        <v>237.75</v>
      </c>
      <c r="E24" s="272">
        <v>248.78999300000001</v>
      </c>
      <c r="F24" s="272">
        <v>238.39984100000001</v>
      </c>
      <c r="G24" s="272">
        <v>19094300</v>
      </c>
      <c r="H24" s="279">
        <f t="shared" si="0"/>
        <v>3.7782827212539108E-3</v>
      </c>
      <c r="J24" s="280">
        <v>43497</v>
      </c>
      <c r="K24" s="276">
        <v>2702.32</v>
      </c>
      <c r="L24" s="276">
        <v>2813.49</v>
      </c>
      <c r="M24" s="276">
        <v>2681.83</v>
      </c>
      <c r="N24" s="276">
        <v>2784.49</v>
      </c>
      <c r="O24" s="276">
        <v>2784.49</v>
      </c>
      <c r="P24" s="281">
        <v>70183430000</v>
      </c>
      <c r="Q24" s="276"/>
      <c r="R24" s="279">
        <v>3.7782827212539108E-3</v>
      </c>
      <c r="S24" s="279">
        <f t="shared" si="1"/>
        <v>1.7924287751078408E-2</v>
      </c>
      <c r="T24" s="279"/>
      <c r="W24" s="286" t="s">
        <v>91</v>
      </c>
      <c r="X24" s="287">
        <f>X21+X19*X22</f>
        <v>6.1305164965644227E-2</v>
      </c>
    </row>
    <row r="25" spans="1:31" x14ac:dyDescent="0.2">
      <c r="A25" s="278">
        <v>43525</v>
      </c>
      <c r="B25" s="272">
        <v>250.529999</v>
      </c>
      <c r="C25" s="272">
        <v>257.16000400000001</v>
      </c>
      <c r="D25" s="272">
        <v>238.21000699999999</v>
      </c>
      <c r="E25" s="272">
        <v>249.729996</v>
      </c>
      <c r="F25" s="272">
        <v>239.30058299999999</v>
      </c>
      <c r="G25" s="272">
        <v>22842300</v>
      </c>
      <c r="H25" s="279">
        <f t="shared" si="0"/>
        <v>-3.3003601165484751E-2</v>
      </c>
      <c r="J25" s="280">
        <v>43525</v>
      </c>
      <c r="K25" s="276">
        <v>2798.22</v>
      </c>
      <c r="L25" s="276">
        <v>2860.31</v>
      </c>
      <c r="M25" s="276">
        <v>2722.27</v>
      </c>
      <c r="N25" s="276">
        <v>2834.4</v>
      </c>
      <c r="O25" s="276">
        <v>2834.4</v>
      </c>
      <c r="P25" s="281">
        <v>78596280000</v>
      </c>
      <c r="Q25" s="276"/>
      <c r="R25" s="279">
        <v>-3.3003601165484751E-2</v>
      </c>
      <c r="S25" s="279">
        <f t="shared" si="1"/>
        <v>3.9313434942139368E-2</v>
      </c>
      <c r="T25" s="279"/>
    </row>
    <row r="26" spans="1:31" x14ac:dyDescent="0.2">
      <c r="A26" s="278">
        <v>43556</v>
      </c>
      <c r="B26" s="272">
        <v>250.88000500000001</v>
      </c>
      <c r="C26" s="272">
        <v>253.83000200000001</v>
      </c>
      <c r="D26" s="272">
        <v>221.509995</v>
      </c>
      <c r="E26" s="272">
        <v>240.740005</v>
      </c>
      <c r="F26" s="272">
        <v>231.40280200000001</v>
      </c>
      <c r="G26" s="272">
        <v>33077900</v>
      </c>
      <c r="H26" s="279">
        <f t="shared" si="0"/>
        <v>-3.0323081394667016E-2</v>
      </c>
      <c r="J26" s="280">
        <v>43556</v>
      </c>
      <c r="K26" s="276">
        <v>2848.63</v>
      </c>
      <c r="L26" s="276">
        <v>2949.52</v>
      </c>
      <c r="M26" s="276">
        <v>2848.63</v>
      </c>
      <c r="N26" s="276">
        <v>2945.83</v>
      </c>
      <c r="O26" s="276">
        <v>2945.83</v>
      </c>
      <c r="P26" s="281">
        <v>69604840000</v>
      </c>
      <c r="Q26" s="276"/>
      <c r="R26" s="279">
        <v>-3.0323081394667016E-2</v>
      </c>
      <c r="S26" s="279">
        <f t="shared" si="1"/>
        <v>-6.5777726481161508E-2</v>
      </c>
      <c r="T26" s="279"/>
    </row>
    <row r="27" spans="1:31" x14ac:dyDescent="0.2">
      <c r="A27" s="278">
        <v>43586</v>
      </c>
      <c r="B27" s="272">
        <v>240.28999300000001</v>
      </c>
      <c r="C27" s="272">
        <v>240.729996</v>
      </c>
      <c r="D27" s="272">
        <v>221.470001</v>
      </c>
      <c r="E27" s="272">
        <v>233.44000199999999</v>
      </c>
      <c r="F27" s="272">
        <v>224.38595599999999</v>
      </c>
      <c r="G27" s="272">
        <v>33310300</v>
      </c>
      <c r="H27" s="279">
        <f t="shared" si="0"/>
        <v>7.9549372510639649E-2</v>
      </c>
      <c r="J27" s="280">
        <v>43586</v>
      </c>
      <c r="K27" s="276">
        <v>2952.33</v>
      </c>
      <c r="L27" s="276">
        <v>2954.13</v>
      </c>
      <c r="M27" s="276">
        <v>2750.52</v>
      </c>
      <c r="N27" s="276">
        <v>2752.06</v>
      </c>
      <c r="O27" s="276">
        <v>2752.06</v>
      </c>
      <c r="P27" s="281">
        <v>76860120000</v>
      </c>
      <c r="Q27" s="276"/>
      <c r="R27" s="279">
        <v>7.9549372510639649E-2</v>
      </c>
      <c r="S27" s="279">
        <f t="shared" si="1"/>
        <v>6.8930183208215035E-2</v>
      </c>
      <c r="T27" s="279"/>
    </row>
    <row r="28" spans="1:31" x14ac:dyDescent="0.2">
      <c r="A28" s="278">
        <v>43617</v>
      </c>
      <c r="B28" s="272">
        <v>233.970001</v>
      </c>
      <c r="C28" s="272">
        <v>252.41000399999999</v>
      </c>
      <c r="D28" s="272">
        <v>231.25</v>
      </c>
      <c r="E28" s="272">
        <v>252.009995</v>
      </c>
      <c r="F28" s="272">
        <v>242.23571799999999</v>
      </c>
      <c r="G28" s="272">
        <v>25466000</v>
      </c>
      <c r="H28" s="279">
        <f t="shared" si="0"/>
        <v>6.3721568922383426E-3</v>
      </c>
      <c r="J28" s="280">
        <v>43617</v>
      </c>
      <c r="K28" s="276">
        <v>2751.53</v>
      </c>
      <c r="L28" s="276">
        <v>2964.15</v>
      </c>
      <c r="M28" s="276">
        <v>2728.81</v>
      </c>
      <c r="N28" s="276">
        <v>2941.76</v>
      </c>
      <c r="O28" s="276">
        <v>2941.76</v>
      </c>
      <c r="P28" s="281">
        <v>70904280000</v>
      </c>
      <c r="Q28" s="276"/>
      <c r="R28" s="279">
        <v>6.3721568922383426E-3</v>
      </c>
      <c r="S28" s="279">
        <f t="shared" si="1"/>
        <v>1.312819536603934E-2</v>
      </c>
      <c r="T28" s="279"/>
    </row>
    <row r="29" spans="1:31" x14ac:dyDescent="0.2">
      <c r="A29" s="278">
        <v>43647</v>
      </c>
      <c r="B29" s="272">
        <v>253.16000399999999</v>
      </c>
      <c r="C29" s="272">
        <v>258.05999800000001</v>
      </c>
      <c r="D29" s="272">
        <v>249.58999600000001</v>
      </c>
      <c r="E29" s="272">
        <v>252.800003</v>
      </c>
      <c r="F29" s="272">
        <v>243.77928199999999</v>
      </c>
      <c r="G29" s="272">
        <v>17804000</v>
      </c>
      <c r="H29" s="279">
        <f t="shared" si="0"/>
        <v>4.4303067559284962E-3</v>
      </c>
      <c r="J29" s="280">
        <v>43647</v>
      </c>
      <c r="K29" s="276">
        <v>2971.41</v>
      </c>
      <c r="L29" s="276">
        <v>3027.98</v>
      </c>
      <c r="M29" s="276">
        <v>2952.22</v>
      </c>
      <c r="N29" s="276">
        <v>2980.38</v>
      </c>
      <c r="O29" s="276">
        <v>2980.38</v>
      </c>
      <c r="P29" s="281">
        <v>70349470000</v>
      </c>
      <c r="Q29" s="276"/>
      <c r="R29" s="279">
        <v>4.4303067559284962E-3</v>
      </c>
      <c r="S29" s="279">
        <f t="shared" si="1"/>
        <v>-1.8091652742267789E-2</v>
      </c>
      <c r="T29" s="279"/>
    </row>
    <row r="30" spans="1:31" x14ac:dyDescent="0.2">
      <c r="A30" s="278">
        <v>43678</v>
      </c>
      <c r="B30" s="272">
        <v>252.89999399999999</v>
      </c>
      <c r="C30" s="272">
        <v>257.73001099999999</v>
      </c>
      <c r="D30" s="272">
        <v>229</v>
      </c>
      <c r="E30" s="272">
        <v>253.91999799999999</v>
      </c>
      <c r="F30" s="272">
        <v>244.85929899999999</v>
      </c>
      <c r="G30" s="272">
        <v>23570500</v>
      </c>
      <c r="H30" s="279">
        <f t="shared" si="0"/>
        <v>-3.78062423514486E-3</v>
      </c>
      <c r="J30" s="280">
        <v>43678</v>
      </c>
      <c r="K30" s="276">
        <v>2980.32</v>
      </c>
      <c r="L30" s="276">
        <v>3013.59</v>
      </c>
      <c r="M30" s="276">
        <v>2822.12</v>
      </c>
      <c r="N30" s="276">
        <v>2926.46</v>
      </c>
      <c r="O30" s="276">
        <v>2926.46</v>
      </c>
      <c r="P30" s="281">
        <v>79599440000</v>
      </c>
      <c r="Q30" s="276"/>
      <c r="R30" s="279">
        <v>-3.78062423514486E-3</v>
      </c>
      <c r="S30" s="279">
        <f t="shared" si="1"/>
        <v>1.7181167690656883E-2</v>
      </c>
      <c r="T30" s="279"/>
    </row>
    <row r="31" spans="1:31" x14ac:dyDescent="0.2">
      <c r="A31" s="278">
        <v>43709</v>
      </c>
      <c r="B31" s="272">
        <v>251.16000399999999</v>
      </c>
      <c r="C31" s="272">
        <v>264.73998999999998</v>
      </c>
      <c r="D31" s="272">
        <v>245.91000399999999</v>
      </c>
      <c r="E31" s="272">
        <v>252.96000699999999</v>
      </c>
      <c r="F31" s="272">
        <v>243.93357800000001</v>
      </c>
      <c r="G31" s="272">
        <v>21646700</v>
      </c>
      <c r="H31" s="279">
        <f t="shared" si="0"/>
        <v>1.5041381469835986E-2</v>
      </c>
      <c r="J31" s="280">
        <v>43709</v>
      </c>
      <c r="K31" s="276">
        <v>2909.01</v>
      </c>
      <c r="L31" s="276">
        <v>3021.99</v>
      </c>
      <c r="M31" s="276">
        <v>2891.85</v>
      </c>
      <c r="N31" s="276">
        <v>2976.74</v>
      </c>
      <c r="O31" s="276">
        <v>2976.74</v>
      </c>
      <c r="P31" s="281">
        <v>73992330000</v>
      </c>
      <c r="Q31" s="276"/>
      <c r="R31" s="279">
        <v>1.5041381469835986E-2</v>
      </c>
      <c r="S31" s="279">
        <f t="shared" si="1"/>
        <v>2.0431747482144953E-2</v>
      </c>
      <c r="T31" s="279"/>
    </row>
    <row r="32" spans="1:31" x14ac:dyDescent="0.2">
      <c r="A32" s="278">
        <v>43739</v>
      </c>
      <c r="B32" s="272">
        <v>254.220001</v>
      </c>
      <c r="C32" s="272">
        <v>259.14999399999999</v>
      </c>
      <c r="D32" s="272">
        <v>244.08999600000001</v>
      </c>
      <c r="E32" s="272">
        <v>256</v>
      </c>
      <c r="F32" s="272">
        <v>247.602676</v>
      </c>
      <c r="G32" s="272">
        <v>23088000</v>
      </c>
      <c r="H32" s="279">
        <f t="shared" si="0"/>
        <v>9.7657668287881808E-3</v>
      </c>
      <c r="J32" s="280">
        <v>43739</v>
      </c>
      <c r="K32" s="276">
        <v>2983.69</v>
      </c>
      <c r="L32" s="276">
        <v>3050.1</v>
      </c>
      <c r="M32" s="276">
        <v>2855.94</v>
      </c>
      <c r="N32" s="276">
        <v>3037.56</v>
      </c>
      <c r="O32" s="276">
        <v>3037.56</v>
      </c>
      <c r="P32" s="281">
        <v>77564550000</v>
      </c>
      <c r="Q32" s="276"/>
      <c r="R32" s="279">
        <v>9.7657668287881808E-3</v>
      </c>
      <c r="S32" s="279">
        <f t="shared" si="1"/>
        <v>3.4047064090915104E-2</v>
      </c>
      <c r="T32" s="279"/>
    </row>
    <row r="33" spans="1:20" x14ac:dyDescent="0.2">
      <c r="A33" s="278">
        <v>43770</v>
      </c>
      <c r="B33" s="272">
        <v>257.70001200000002</v>
      </c>
      <c r="C33" s="272">
        <v>261.69000199999999</v>
      </c>
      <c r="D33" s="272">
        <v>240.61000100000001</v>
      </c>
      <c r="E33" s="272">
        <v>258.5</v>
      </c>
      <c r="F33" s="272">
        <v>250.02070599999999</v>
      </c>
      <c r="G33" s="272">
        <v>26774000</v>
      </c>
      <c r="H33" s="279">
        <f t="shared" si="0"/>
        <v>5.2108416172538863E-2</v>
      </c>
      <c r="J33" s="280">
        <v>43770</v>
      </c>
      <c r="K33" s="276">
        <v>3050.72</v>
      </c>
      <c r="L33" s="276">
        <v>3154.26</v>
      </c>
      <c r="M33" s="276">
        <v>3050.72</v>
      </c>
      <c r="N33" s="276">
        <v>3140.98</v>
      </c>
      <c r="O33" s="276">
        <v>3140.98</v>
      </c>
      <c r="P33" s="281">
        <v>72179920000</v>
      </c>
      <c r="Q33" s="276"/>
      <c r="R33" s="279">
        <v>5.2108416172538863E-2</v>
      </c>
      <c r="S33" s="279">
        <f t="shared" si="1"/>
        <v>2.8589803182446302E-2</v>
      </c>
      <c r="T33" s="279"/>
    </row>
    <row r="34" spans="1:20" x14ac:dyDescent="0.2">
      <c r="A34" s="278">
        <v>43800</v>
      </c>
      <c r="B34" s="272">
        <v>258.08999599999999</v>
      </c>
      <c r="C34" s="272">
        <v>275.48001099999999</v>
      </c>
      <c r="D34" s="272">
        <v>253.58000200000001</v>
      </c>
      <c r="E34" s="272">
        <v>271.97000100000002</v>
      </c>
      <c r="F34" s="272">
        <v>263.04888899999997</v>
      </c>
      <c r="G34" s="272">
        <v>23036900</v>
      </c>
      <c r="H34" s="279">
        <f t="shared" si="0"/>
        <v>1.4878207677965202E-2</v>
      </c>
      <c r="J34" s="280">
        <v>43800</v>
      </c>
      <c r="K34" s="276">
        <v>3143.85</v>
      </c>
      <c r="L34" s="276">
        <v>3247.93</v>
      </c>
      <c r="M34" s="276">
        <v>3070.33</v>
      </c>
      <c r="N34" s="276">
        <v>3230.78</v>
      </c>
      <c r="O34" s="276">
        <v>3230.78</v>
      </c>
      <c r="P34" s="281">
        <v>72054000000</v>
      </c>
      <c r="Q34" s="276"/>
      <c r="R34" s="279">
        <v>1.4878207677965202E-2</v>
      </c>
      <c r="S34" s="279">
        <f t="shared" si="1"/>
        <v>-1.6280898111292685E-3</v>
      </c>
      <c r="T34" s="279"/>
    </row>
    <row r="35" spans="1:20" x14ac:dyDescent="0.2">
      <c r="A35" s="278">
        <v>43831</v>
      </c>
      <c r="B35" s="272">
        <v>272.08999599999999</v>
      </c>
      <c r="C35" s="272">
        <v>283.95001200000002</v>
      </c>
      <c r="D35" s="272">
        <v>266.64999399999999</v>
      </c>
      <c r="E35" s="272">
        <v>275.17999300000002</v>
      </c>
      <c r="F35" s="272">
        <v>266.96258499999999</v>
      </c>
      <c r="G35" s="272">
        <v>26915700</v>
      </c>
      <c r="H35" s="279">
        <f t="shared" si="0"/>
        <v>-0.13576572537308917</v>
      </c>
      <c r="J35" s="280">
        <v>43831</v>
      </c>
      <c r="K35" s="276">
        <v>3244.67</v>
      </c>
      <c r="L35" s="276">
        <v>3337.77</v>
      </c>
      <c r="M35" s="276">
        <v>3214.64</v>
      </c>
      <c r="N35" s="276">
        <v>3225.52</v>
      </c>
      <c r="O35" s="276">
        <v>3225.52</v>
      </c>
      <c r="P35" s="281">
        <v>77104420000</v>
      </c>
      <c r="Q35" s="276"/>
      <c r="R35" s="279">
        <v>-0.13576572537308917</v>
      </c>
      <c r="S35" s="279">
        <f t="shared" si="1"/>
        <v>-8.4110469009648109E-2</v>
      </c>
      <c r="T35" s="279"/>
    </row>
    <row r="36" spans="1:20" x14ac:dyDescent="0.2">
      <c r="A36" s="278">
        <v>43862</v>
      </c>
      <c r="B36" s="272">
        <v>277.23001099999999</v>
      </c>
      <c r="C36" s="272">
        <v>286.72000100000002</v>
      </c>
      <c r="D36" s="272">
        <v>231.61999499999999</v>
      </c>
      <c r="E36" s="272">
        <v>237.820007</v>
      </c>
      <c r="F36" s="272">
        <v>230.71821600000001</v>
      </c>
      <c r="G36" s="272">
        <v>48553900</v>
      </c>
      <c r="H36" s="279">
        <f t="shared" si="0"/>
        <v>-3.384921717667938E-2</v>
      </c>
      <c r="J36" s="280">
        <v>43862</v>
      </c>
      <c r="K36" s="276">
        <v>3235.66</v>
      </c>
      <c r="L36" s="276">
        <v>3393.52</v>
      </c>
      <c r="M36" s="276">
        <v>2855.84</v>
      </c>
      <c r="N36" s="276">
        <v>2954.22</v>
      </c>
      <c r="O36" s="276">
        <v>2954.22</v>
      </c>
      <c r="P36" s="281">
        <v>84292270000</v>
      </c>
      <c r="Q36" s="276"/>
      <c r="R36" s="279">
        <v>-3.384921717667938E-2</v>
      </c>
      <c r="S36" s="279">
        <f t="shared" si="1"/>
        <v>-0.12511932083595659</v>
      </c>
      <c r="T36" s="279"/>
    </row>
    <row r="37" spans="1:20" x14ac:dyDescent="0.2">
      <c r="A37" s="278">
        <v>43891</v>
      </c>
      <c r="B37" s="272">
        <v>237.83999600000001</v>
      </c>
      <c r="C37" s="272">
        <v>251.970001</v>
      </c>
      <c r="D37" s="272">
        <v>197.75</v>
      </c>
      <c r="E37" s="272">
        <v>229.770004</v>
      </c>
      <c r="F37" s="272">
        <v>222.90858499999999</v>
      </c>
      <c r="G37" s="272">
        <v>64819400</v>
      </c>
      <c r="H37" s="279">
        <f t="shared" si="0"/>
        <v>0.1026987139144955</v>
      </c>
      <c r="J37" s="280">
        <v>43891</v>
      </c>
      <c r="K37" s="276">
        <v>2974.28</v>
      </c>
      <c r="L37" s="276">
        <v>3136.72</v>
      </c>
      <c r="M37" s="276">
        <v>2191.86</v>
      </c>
      <c r="N37" s="276">
        <v>2584.59</v>
      </c>
      <c r="O37" s="276">
        <v>2584.59</v>
      </c>
      <c r="P37" s="281">
        <v>161801100000</v>
      </c>
      <c r="Q37" s="276"/>
      <c r="R37" s="279">
        <v>0.1026987139144955</v>
      </c>
      <c r="S37" s="279">
        <f t="shared" si="1"/>
        <v>0.12684410293315368</v>
      </c>
      <c r="T37" s="279"/>
    </row>
    <row r="38" spans="1:20" x14ac:dyDescent="0.2">
      <c r="A38" s="278">
        <v>43922</v>
      </c>
      <c r="B38" s="272">
        <v>221.71000699999999</v>
      </c>
      <c r="C38" s="272">
        <v>271.95001200000002</v>
      </c>
      <c r="D38" s="272">
        <v>220</v>
      </c>
      <c r="E38" s="272">
        <v>252.529999</v>
      </c>
      <c r="F38" s="272">
        <v>245.80100999999999</v>
      </c>
      <c r="G38" s="272">
        <v>40427000</v>
      </c>
      <c r="H38" s="279">
        <f t="shared" si="0"/>
        <v>-2.2175620840614054E-2</v>
      </c>
      <c r="J38" s="280">
        <v>43922</v>
      </c>
      <c r="K38" s="276">
        <v>2498.08</v>
      </c>
      <c r="L38" s="276">
        <v>2954.86</v>
      </c>
      <c r="M38" s="276">
        <v>2447.4899999999998</v>
      </c>
      <c r="N38" s="276">
        <v>2912.43</v>
      </c>
      <c r="O38" s="276">
        <v>2912.43</v>
      </c>
      <c r="P38" s="281">
        <v>123163450000</v>
      </c>
      <c r="Q38" s="276"/>
      <c r="R38" s="279">
        <v>-2.2175620840614054E-2</v>
      </c>
      <c r="S38" s="279">
        <f t="shared" si="1"/>
        <v>4.5281775012618368E-2</v>
      </c>
      <c r="T38" s="279"/>
    </row>
    <row r="39" spans="1:20" x14ac:dyDescent="0.2">
      <c r="A39" s="278">
        <v>43952</v>
      </c>
      <c r="B39" s="272">
        <v>250.800003</v>
      </c>
      <c r="C39" s="272">
        <v>268.42001299999998</v>
      </c>
      <c r="D39" s="272">
        <v>227.41000399999999</v>
      </c>
      <c r="E39" s="272">
        <v>246.929993</v>
      </c>
      <c r="F39" s="272">
        <v>240.35022000000001</v>
      </c>
      <c r="G39" s="272">
        <v>51393400</v>
      </c>
      <c r="H39" s="279">
        <f t="shared" si="0"/>
        <v>-3.1020803725496936E-2</v>
      </c>
      <c r="J39" s="280">
        <v>43952</v>
      </c>
      <c r="K39" s="276">
        <v>2869.09</v>
      </c>
      <c r="L39" s="276">
        <v>3068.67</v>
      </c>
      <c r="M39" s="276">
        <v>2766.64</v>
      </c>
      <c r="N39" s="276">
        <v>3044.31</v>
      </c>
      <c r="O39" s="276">
        <v>3044.31</v>
      </c>
      <c r="P39" s="281">
        <v>106799100000</v>
      </c>
      <c r="Q39" s="276"/>
      <c r="R39" s="279">
        <v>-3.1020803725496936E-2</v>
      </c>
      <c r="S39" s="279">
        <f t="shared" si="1"/>
        <v>1.838840328350267E-2</v>
      </c>
      <c r="T39" s="279"/>
    </row>
    <row r="40" spans="1:20" x14ac:dyDescent="0.2">
      <c r="A40" s="278">
        <v>43983</v>
      </c>
      <c r="B40" s="272">
        <v>246.63000500000001</v>
      </c>
      <c r="C40" s="272">
        <v>250.320007</v>
      </c>
      <c r="D40" s="272">
        <v>225.300003</v>
      </c>
      <c r="E40" s="272">
        <v>239.270004</v>
      </c>
      <c r="F40" s="272">
        <v>232.894363</v>
      </c>
      <c r="G40" s="272">
        <v>45114600</v>
      </c>
      <c r="H40" s="279">
        <f t="shared" si="0"/>
        <v>0.17967734581879943</v>
      </c>
      <c r="J40" s="280">
        <v>43983</v>
      </c>
      <c r="K40" s="276">
        <v>3038.78</v>
      </c>
      <c r="L40" s="276">
        <v>3233.13</v>
      </c>
      <c r="M40" s="276">
        <v>2965.66</v>
      </c>
      <c r="N40" s="276">
        <v>3100.29</v>
      </c>
      <c r="O40" s="276">
        <v>3100.29</v>
      </c>
      <c r="P40" s="281">
        <v>131044000000</v>
      </c>
      <c r="Q40" s="276"/>
      <c r="R40" s="279">
        <v>0.17967734581879943</v>
      </c>
      <c r="S40" s="279">
        <f t="shared" si="1"/>
        <v>5.5101296975444213E-2</v>
      </c>
      <c r="T40" s="279"/>
    </row>
    <row r="41" spans="1:20" x14ac:dyDescent="0.2">
      <c r="A41" s="278">
        <v>44013</v>
      </c>
      <c r="B41" s="272">
        <v>239.03999300000001</v>
      </c>
      <c r="C41" s="272">
        <v>281.35000600000001</v>
      </c>
      <c r="D41" s="272">
        <v>238.759995</v>
      </c>
      <c r="E41" s="272">
        <v>281.33999599999999</v>
      </c>
      <c r="F41" s="272">
        <v>274.74020400000001</v>
      </c>
      <c r="G41" s="272">
        <v>29899100</v>
      </c>
      <c r="H41" s="279">
        <f t="shared" si="0"/>
        <v>-0.13709395804335939</v>
      </c>
      <c r="J41" s="280">
        <v>44013</v>
      </c>
      <c r="K41" s="276">
        <v>3105.92</v>
      </c>
      <c r="L41" s="276">
        <v>3279.99</v>
      </c>
      <c r="M41" s="276">
        <v>3101.17</v>
      </c>
      <c r="N41" s="276">
        <v>3271.12</v>
      </c>
      <c r="O41" s="276">
        <v>3271.12</v>
      </c>
      <c r="P41" s="281">
        <v>97197020000</v>
      </c>
      <c r="Q41" s="276"/>
      <c r="R41" s="279">
        <v>-0.13709395804335939</v>
      </c>
      <c r="S41" s="279">
        <f t="shared" si="1"/>
        <v>7.0064687324219249E-2</v>
      </c>
      <c r="T41" s="279"/>
    </row>
    <row r="42" spans="1:20" x14ac:dyDescent="0.2">
      <c r="A42" s="278">
        <v>44044</v>
      </c>
      <c r="B42" s="272">
        <v>282.97000100000002</v>
      </c>
      <c r="C42" s="272">
        <v>284.97000100000002</v>
      </c>
      <c r="D42" s="272">
        <v>232</v>
      </c>
      <c r="E42" s="272">
        <v>242.770004</v>
      </c>
      <c r="F42" s="272">
        <v>237.07498200000001</v>
      </c>
      <c r="G42" s="272">
        <v>32428100</v>
      </c>
      <c r="H42" s="279">
        <f t="shared" si="0"/>
        <v>-4.1562095320542898E-2</v>
      </c>
      <c r="J42" s="280">
        <v>44044</v>
      </c>
      <c r="K42" s="276">
        <v>3288.26</v>
      </c>
      <c r="L42" s="276">
        <v>3514.77</v>
      </c>
      <c r="M42" s="276">
        <v>3284.53</v>
      </c>
      <c r="N42" s="276">
        <v>3500.31</v>
      </c>
      <c r="O42" s="276">
        <v>3500.31</v>
      </c>
      <c r="P42" s="281">
        <v>84402300000</v>
      </c>
      <c r="Q42" s="276"/>
      <c r="R42" s="279">
        <v>-4.1562095320542898E-2</v>
      </c>
      <c r="S42" s="279">
        <f t="shared" si="1"/>
        <v>-3.9227954095494386E-2</v>
      </c>
      <c r="T42" s="279"/>
    </row>
    <row r="43" spans="1:20" x14ac:dyDescent="0.2">
      <c r="A43" s="278">
        <v>44075</v>
      </c>
      <c r="B43" s="272">
        <v>243.970001</v>
      </c>
      <c r="C43" s="272">
        <v>246.679993</v>
      </c>
      <c r="D43" s="272">
        <v>219.5</v>
      </c>
      <c r="E43" s="272">
        <v>232.679993</v>
      </c>
      <c r="F43" s="272">
        <v>227.22164900000001</v>
      </c>
      <c r="G43" s="272">
        <v>36171100</v>
      </c>
      <c r="H43" s="279">
        <f t="shared" si="0"/>
        <v>-3.2975863140576873E-3</v>
      </c>
      <c r="J43" s="280">
        <v>44075</v>
      </c>
      <c r="K43" s="276">
        <v>3507.44</v>
      </c>
      <c r="L43" s="276">
        <v>3588.11</v>
      </c>
      <c r="M43" s="276">
        <v>3209.45</v>
      </c>
      <c r="N43" s="276">
        <v>3363</v>
      </c>
      <c r="O43" s="276">
        <v>3363</v>
      </c>
      <c r="P43" s="281">
        <v>92084120000</v>
      </c>
      <c r="Q43" s="276"/>
      <c r="R43" s="279">
        <v>-3.2975863140576873E-3</v>
      </c>
      <c r="S43" s="279">
        <f t="shared" si="1"/>
        <v>-2.766577460600653E-2</v>
      </c>
      <c r="T43" s="279"/>
    </row>
    <row r="44" spans="1:20" x14ac:dyDescent="0.2">
      <c r="A44" s="278">
        <v>44105</v>
      </c>
      <c r="B44" s="272">
        <v>234.41000399999999</v>
      </c>
      <c r="C44" s="272">
        <v>245.86999499999999</v>
      </c>
      <c r="D44" s="272">
        <v>227.820007</v>
      </c>
      <c r="E44" s="272">
        <v>231.13000500000001</v>
      </c>
      <c r="F44" s="272">
        <v>226.47236599999999</v>
      </c>
      <c r="G44" s="272">
        <v>23414700</v>
      </c>
      <c r="H44" s="279">
        <f t="shared" si="0"/>
        <v>1.6051512439270377E-2</v>
      </c>
      <c r="J44" s="280">
        <v>44105</v>
      </c>
      <c r="K44" s="276">
        <v>3385.87</v>
      </c>
      <c r="L44" s="276">
        <v>3549.85</v>
      </c>
      <c r="M44" s="276">
        <v>3233.94</v>
      </c>
      <c r="N44" s="276">
        <v>3269.96</v>
      </c>
      <c r="O44" s="276">
        <v>3269.96</v>
      </c>
      <c r="P44" s="281">
        <v>89737600000</v>
      </c>
      <c r="Q44" s="276"/>
      <c r="R44" s="279">
        <v>1.6051512439270377E-2</v>
      </c>
      <c r="S44" s="279">
        <f t="shared" si="1"/>
        <v>0.10754565805086302</v>
      </c>
      <c r="T44" s="279"/>
    </row>
    <row r="45" spans="1:20" x14ac:dyDescent="0.2">
      <c r="A45" s="278">
        <v>44136</v>
      </c>
      <c r="B45" s="272">
        <v>233.61000100000001</v>
      </c>
      <c r="C45" s="272">
        <v>247.83000200000001</v>
      </c>
      <c r="D45" s="272">
        <v>226.14999399999999</v>
      </c>
      <c r="E45" s="272">
        <v>234.83999600000001</v>
      </c>
      <c r="F45" s="272">
        <v>230.10758999999999</v>
      </c>
      <c r="G45" s="272">
        <v>33711200</v>
      </c>
      <c r="H45" s="279">
        <f t="shared" si="0"/>
        <v>6.5491399045116333E-2</v>
      </c>
      <c r="J45" s="280">
        <v>44136</v>
      </c>
      <c r="K45" s="276">
        <v>3296.2</v>
      </c>
      <c r="L45" s="276">
        <v>3645.99</v>
      </c>
      <c r="M45" s="276">
        <v>3279.74</v>
      </c>
      <c r="N45" s="276">
        <v>3621.63</v>
      </c>
      <c r="O45" s="276">
        <v>3621.63</v>
      </c>
      <c r="P45" s="281">
        <v>100977880000</v>
      </c>
      <c r="Q45" s="276"/>
      <c r="R45" s="279">
        <v>6.5491399045116333E-2</v>
      </c>
      <c r="S45" s="279">
        <f t="shared" si="1"/>
        <v>3.7121406659432372E-2</v>
      </c>
      <c r="T45" s="279"/>
    </row>
    <row r="46" spans="1:20" x14ac:dyDescent="0.2">
      <c r="A46" s="278">
        <v>44166</v>
      </c>
      <c r="B46" s="272">
        <v>236.11999499999999</v>
      </c>
      <c r="C46" s="272">
        <v>253.229996</v>
      </c>
      <c r="D46" s="272">
        <v>234.61000100000001</v>
      </c>
      <c r="E46" s="272">
        <v>250.220001</v>
      </c>
      <c r="F46" s="272">
        <v>245.17765800000001</v>
      </c>
      <c r="G46" s="272">
        <v>28757600</v>
      </c>
      <c r="H46" s="279">
        <f t="shared" si="0"/>
        <v>4.9866497215663982E-2</v>
      </c>
      <c r="J46" s="280">
        <v>44166</v>
      </c>
      <c r="K46" s="276">
        <v>3645.87</v>
      </c>
      <c r="L46" s="276">
        <v>3760.2</v>
      </c>
      <c r="M46" s="276">
        <v>3633.4</v>
      </c>
      <c r="N46" s="276">
        <v>3756.07</v>
      </c>
      <c r="O46" s="276">
        <v>3756.07</v>
      </c>
      <c r="P46" s="281">
        <v>96056410000</v>
      </c>
      <c r="Q46" s="276"/>
      <c r="R46" s="279">
        <v>4.9866497215663982E-2</v>
      </c>
      <c r="S46" s="279">
        <f t="shared" si="1"/>
        <v>-1.1136640158463601E-2</v>
      </c>
      <c r="T46" s="279"/>
    </row>
    <row r="47" spans="1:20" x14ac:dyDescent="0.2">
      <c r="A47" s="278">
        <v>44197</v>
      </c>
      <c r="B47" s="272">
        <v>251</v>
      </c>
      <c r="C47" s="272">
        <v>267.36999500000002</v>
      </c>
      <c r="D47" s="272">
        <v>246.75</v>
      </c>
      <c r="E47" s="272">
        <v>261.790009</v>
      </c>
      <c r="F47" s="272">
        <v>257.40380900000002</v>
      </c>
      <c r="G47" s="272">
        <v>25660300</v>
      </c>
      <c r="H47" s="279">
        <f t="shared" si="0"/>
        <v>-7.8841840293047152E-2</v>
      </c>
      <c r="J47" s="280">
        <v>44197</v>
      </c>
      <c r="K47" s="276">
        <v>3764.61</v>
      </c>
      <c r="L47" s="276">
        <v>3870.9</v>
      </c>
      <c r="M47" s="276">
        <v>3662.71</v>
      </c>
      <c r="N47" s="276">
        <v>3714.24</v>
      </c>
      <c r="O47" s="276">
        <v>3714.24</v>
      </c>
      <c r="P47" s="281">
        <v>105548790000</v>
      </c>
      <c r="Q47" s="276"/>
      <c r="R47" s="279">
        <v>-7.8841840293047152E-2</v>
      </c>
      <c r="S47" s="279">
        <f t="shared" si="1"/>
        <v>2.6091474971999741E-2</v>
      </c>
      <c r="T47" s="279"/>
    </row>
    <row r="48" spans="1:20" x14ac:dyDescent="0.2">
      <c r="A48" s="278">
        <v>44228</v>
      </c>
      <c r="B48" s="272">
        <v>262.45001200000002</v>
      </c>
      <c r="C48" s="272">
        <v>265.01998900000001</v>
      </c>
      <c r="D48" s="272">
        <v>241.009995</v>
      </c>
      <c r="E48" s="272">
        <v>241.14999399999999</v>
      </c>
      <c r="F48" s="272">
        <v>237.10961900000001</v>
      </c>
      <c r="G48" s="272">
        <v>27243500</v>
      </c>
      <c r="H48" s="279">
        <f t="shared" si="0"/>
        <v>8.2935353204713191E-3</v>
      </c>
      <c r="J48" s="280">
        <v>44228</v>
      </c>
      <c r="K48" s="276">
        <v>3731.17</v>
      </c>
      <c r="L48" s="276">
        <v>3950.43</v>
      </c>
      <c r="M48" s="276">
        <v>3725.62</v>
      </c>
      <c r="N48" s="276">
        <v>3811.15</v>
      </c>
      <c r="O48" s="276">
        <v>3811.15</v>
      </c>
      <c r="P48" s="281">
        <v>98596960000</v>
      </c>
      <c r="Q48" s="276"/>
      <c r="R48" s="279">
        <v>8.2935353204713191E-3</v>
      </c>
      <c r="S48" s="279">
        <f t="shared" si="1"/>
        <v>4.2438634008107733E-2</v>
      </c>
      <c r="T48" s="279"/>
    </row>
    <row r="49" spans="1:20" x14ac:dyDescent="0.2">
      <c r="A49" s="278">
        <v>44256</v>
      </c>
      <c r="B49" s="272">
        <v>242.71000699999999</v>
      </c>
      <c r="C49" s="272">
        <v>249.63999899999999</v>
      </c>
      <c r="D49" s="272">
        <v>236.029999</v>
      </c>
      <c r="E49" s="272">
        <v>243.14999399999999</v>
      </c>
      <c r="F49" s="272">
        <v>239.07609600000001</v>
      </c>
      <c r="G49" s="272">
        <v>28799600</v>
      </c>
      <c r="H49" s="279">
        <f t="shared" si="0"/>
        <v>2.6740586394718432E-2</v>
      </c>
      <c r="J49" s="280">
        <v>44256</v>
      </c>
      <c r="K49" s="276">
        <v>3842.51</v>
      </c>
      <c r="L49" s="276">
        <v>3994.41</v>
      </c>
      <c r="M49" s="276">
        <v>3723.34</v>
      </c>
      <c r="N49" s="276">
        <v>3972.89</v>
      </c>
      <c r="O49" s="276">
        <v>3972.89</v>
      </c>
      <c r="P49" s="281">
        <v>120863560000</v>
      </c>
      <c r="Q49" s="276"/>
      <c r="R49" s="279">
        <v>2.6740586394718432E-2</v>
      </c>
      <c r="S49" s="279">
        <f t="shared" si="1"/>
        <v>5.2425312555847307E-2</v>
      </c>
      <c r="T49" s="279"/>
    </row>
    <row r="50" spans="1:20" x14ac:dyDescent="0.2">
      <c r="A50" s="278">
        <v>44287</v>
      </c>
      <c r="B50" s="272">
        <v>243.550003</v>
      </c>
      <c r="C50" s="272">
        <v>262.01001000000002</v>
      </c>
      <c r="D50" s="272">
        <v>240.570007</v>
      </c>
      <c r="E50" s="272">
        <v>248.80999800000001</v>
      </c>
      <c r="F50" s="272">
        <v>245.469131</v>
      </c>
      <c r="G50" s="272">
        <v>26185000</v>
      </c>
      <c r="H50" s="279">
        <f t="shared" si="0"/>
        <v>-2.7812344355429421E-2</v>
      </c>
      <c r="J50" s="280">
        <v>44287</v>
      </c>
      <c r="K50" s="276">
        <v>3992.78</v>
      </c>
      <c r="L50" s="276">
        <v>4218.78</v>
      </c>
      <c r="M50" s="276">
        <v>3992.78</v>
      </c>
      <c r="N50" s="276">
        <v>4181.17</v>
      </c>
      <c r="O50" s="276">
        <v>4181.17</v>
      </c>
      <c r="P50" s="281">
        <v>82869290000</v>
      </c>
      <c r="Q50" s="276"/>
      <c r="R50" s="279">
        <v>-2.7812344355429421E-2</v>
      </c>
      <c r="S50" s="279">
        <f t="shared" si="1"/>
        <v>5.4865025818131288E-3</v>
      </c>
      <c r="T50" s="279"/>
    </row>
    <row r="51" spans="1:20" x14ac:dyDescent="0.2">
      <c r="A51" s="278">
        <v>44317</v>
      </c>
      <c r="B51" s="272">
        <v>249.71000699999999</v>
      </c>
      <c r="C51" s="272">
        <v>253.759995</v>
      </c>
      <c r="D51" s="272">
        <v>238.199997</v>
      </c>
      <c r="E51" s="272">
        <v>241.88999899999999</v>
      </c>
      <c r="F51" s="272">
        <v>238.64205899999999</v>
      </c>
      <c r="G51" s="272">
        <v>32391000</v>
      </c>
      <c r="H51" s="279">
        <f t="shared" si="0"/>
        <v>5.3744214468079594E-3</v>
      </c>
      <c r="J51" s="280">
        <v>44317</v>
      </c>
      <c r="K51" s="276">
        <v>4191.9799999999996</v>
      </c>
      <c r="L51" s="276">
        <v>4238.04</v>
      </c>
      <c r="M51" s="276">
        <v>4056.88</v>
      </c>
      <c r="N51" s="276">
        <v>4204.1099999999997</v>
      </c>
      <c r="O51" s="276">
        <v>4204.1099999999997</v>
      </c>
      <c r="P51" s="281">
        <v>75155370000</v>
      </c>
      <c r="Q51" s="276"/>
      <c r="R51" s="279">
        <v>5.3744214468079594E-3</v>
      </c>
      <c r="S51" s="279">
        <f t="shared" si="1"/>
        <v>2.221397632316955E-2</v>
      </c>
      <c r="T51" s="279"/>
    </row>
    <row r="52" spans="1:20" x14ac:dyDescent="0.2">
      <c r="A52" s="278">
        <v>44348</v>
      </c>
      <c r="B52" s="272">
        <v>241.13000500000001</v>
      </c>
      <c r="C52" s="272">
        <v>247.66000399999999</v>
      </c>
      <c r="D52" s="272">
        <v>237.33999600000001</v>
      </c>
      <c r="E52" s="272">
        <v>243.19000199999999</v>
      </c>
      <c r="F52" s="272">
        <v>239.924622</v>
      </c>
      <c r="G52" s="272">
        <v>32551700</v>
      </c>
      <c r="H52" s="279">
        <f t="shared" si="0"/>
        <v>5.5303077647445499E-2</v>
      </c>
      <c r="J52" s="280">
        <v>44348</v>
      </c>
      <c r="K52" s="276">
        <v>4216.5200000000004</v>
      </c>
      <c r="L52" s="276">
        <v>4302.43</v>
      </c>
      <c r="M52" s="276">
        <v>4164.3999999999996</v>
      </c>
      <c r="N52" s="276">
        <v>4297.5</v>
      </c>
      <c r="O52" s="276">
        <v>4297.5</v>
      </c>
      <c r="P52" s="281">
        <v>85705180000</v>
      </c>
      <c r="Q52" s="276"/>
      <c r="R52" s="279">
        <v>5.5303077647445499E-2</v>
      </c>
      <c r="S52" s="279">
        <f t="shared" si="1"/>
        <v>2.2748109365910464E-2</v>
      </c>
      <c r="T52" s="279"/>
    </row>
    <row r="53" spans="1:20" x14ac:dyDescent="0.2">
      <c r="A53" s="278">
        <v>44378</v>
      </c>
      <c r="B53" s="272">
        <v>243.009995</v>
      </c>
      <c r="C53" s="272">
        <v>256.82000699999998</v>
      </c>
      <c r="D53" s="272">
        <v>242.69000199999999</v>
      </c>
      <c r="E53" s="272">
        <v>255.75</v>
      </c>
      <c r="F53" s="272">
        <v>253.19319200000001</v>
      </c>
      <c r="G53" s="272">
        <v>21619900</v>
      </c>
      <c r="H53" s="279">
        <f t="shared" si="0"/>
        <v>-1.5835761492354872E-2</v>
      </c>
      <c r="J53" s="280">
        <v>44378</v>
      </c>
      <c r="K53" s="276">
        <v>4300.7299999999996</v>
      </c>
      <c r="L53" s="276">
        <v>4429.97</v>
      </c>
      <c r="M53" s="276">
        <v>4233.13</v>
      </c>
      <c r="N53" s="276">
        <v>4395.26</v>
      </c>
      <c r="O53" s="276">
        <v>4395.26</v>
      </c>
      <c r="P53" s="281">
        <v>66496430000</v>
      </c>
      <c r="Q53" s="276"/>
      <c r="R53" s="279">
        <v>-1.5835761492354872E-2</v>
      </c>
      <c r="S53" s="279">
        <f t="shared" si="1"/>
        <v>2.8990321391681052E-2</v>
      </c>
      <c r="T53" s="279"/>
    </row>
    <row r="54" spans="1:20" x14ac:dyDescent="0.2">
      <c r="A54" s="278">
        <v>44409</v>
      </c>
      <c r="B54" s="272">
        <v>256.35998499999999</v>
      </c>
      <c r="C54" s="272">
        <v>257.92999300000002</v>
      </c>
      <c r="D54" s="272">
        <v>237.53999300000001</v>
      </c>
      <c r="E54" s="272">
        <v>251.699997</v>
      </c>
      <c r="F54" s="272">
        <v>249.183685</v>
      </c>
      <c r="G54" s="272">
        <v>31277600</v>
      </c>
      <c r="H54" s="279">
        <f t="shared" si="0"/>
        <v>-2.3361128157327004E-2</v>
      </c>
      <c r="J54" s="280">
        <v>44409</v>
      </c>
      <c r="K54" s="276">
        <v>4406.8599999999997</v>
      </c>
      <c r="L54" s="276">
        <v>4537.3599999999997</v>
      </c>
      <c r="M54" s="276">
        <v>4367.7299999999996</v>
      </c>
      <c r="N54" s="276">
        <v>4522.68</v>
      </c>
      <c r="O54" s="276">
        <v>4522.68</v>
      </c>
      <c r="P54" s="281">
        <v>63217960000</v>
      </c>
      <c r="Q54" s="276"/>
      <c r="R54" s="279">
        <v>-2.3361128157327004E-2</v>
      </c>
      <c r="S54" s="279">
        <f t="shared" si="1"/>
        <v>-4.7569140421166278E-2</v>
      </c>
      <c r="T54" s="279"/>
    </row>
    <row r="55" spans="1:20" x14ac:dyDescent="0.2">
      <c r="A55" s="278">
        <v>44440</v>
      </c>
      <c r="B55" s="272">
        <v>251.979996</v>
      </c>
      <c r="C55" s="272">
        <v>264</v>
      </c>
      <c r="D55" s="272">
        <v>245.78999300000001</v>
      </c>
      <c r="E55" s="272">
        <v>245.820007</v>
      </c>
      <c r="F55" s="272">
        <v>243.36247299999999</v>
      </c>
      <c r="G55" s="272">
        <v>30418500</v>
      </c>
      <c r="H55" s="279">
        <f t="shared" si="0"/>
        <v>-2.2196059784451678E-2</v>
      </c>
      <c r="J55" s="280">
        <v>44440</v>
      </c>
      <c r="K55" s="276">
        <v>4528.8</v>
      </c>
      <c r="L55" s="276">
        <v>4545.8500000000004</v>
      </c>
      <c r="M55" s="276">
        <v>4305.91</v>
      </c>
      <c r="N55" s="276">
        <v>4307.54</v>
      </c>
      <c r="O55" s="276">
        <v>4307.54</v>
      </c>
      <c r="P55" s="281">
        <v>66268850000</v>
      </c>
      <c r="Q55" s="276"/>
      <c r="R55" s="279">
        <v>-2.2196059784451678E-2</v>
      </c>
      <c r="S55" s="279">
        <f t="shared" si="1"/>
        <v>6.9143873301234615E-2</v>
      </c>
      <c r="T55" s="279"/>
    </row>
    <row r="56" spans="1:20" x14ac:dyDescent="0.2">
      <c r="A56" s="278">
        <v>44470</v>
      </c>
      <c r="B56" s="272">
        <v>246.429993</v>
      </c>
      <c r="C56" s="272">
        <v>248.479996</v>
      </c>
      <c r="D56" s="272">
        <v>235.13000500000001</v>
      </c>
      <c r="E56" s="272">
        <v>239.58999600000001</v>
      </c>
      <c r="F56" s="272">
        <v>237.96078499999999</v>
      </c>
      <c r="G56" s="272">
        <v>26455000</v>
      </c>
      <c r="H56" s="279">
        <f t="shared" si="0"/>
        <v>-1.0225777327133855E-2</v>
      </c>
      <c r="J56" s="280">
        <v>44470</v>
      </c>
      <c r="K56" s="276">
        <v>4317.16</v>
      </c>
      <c r="L56" s="276">
        <v>4608.08</v>
      </c>
      <c r="M56" s="276">
        <v>4278.9399999999996</v>
      </c>
      <c r="N56" s="276">
        <v>4605.38</v>
      </c>
      <c r="O56" s="276">
        <v>4605.38</v>
      </c>
      <c r="P56" s="281">
        <v>61874700000</v>
      </c>
      <c r="Q56" s="276"/>
      <c r="R56" s="279">
        <v>-1.0225777327133855E-2</v>
      </c>
      <c r="S56" s="279">
        <f t="shared" si="1"/>
        <v>-8.3337314184714628E-3</v>
      </c>
      <c r="T56" s="279"/>
    </row>
    <row r="57" spans="1:20" x14ac:dyDescent="0.2">
      <c r="A57" s="278">
        <v>44501</v>
      </c>
      <c r="B57" s="272">
        <v>239.929993</v>
      </c>
      <c r="C57" s="272">
        <v>252.41000399999999</v>
      </c>
      <c r="D57" s="272">
        <v>236</v>
      </c>
      <c r="E57" s="272">
        <v>237.13999899999999</v>
      </c>
      <c r="F57" s="272">
        <v>235.52745100000001</v>
      </c>
      <c r="G57" s="272">
        <v>32503600</v>
      </c>
      <c r="H57" s="279">
        <f t="shared" si="0"/>
        <v>6.0470624292537342E-2</v>
      </c>
      <c r="J57" s="280">
        <v>44501</v>
      </c>
      <c r="K57" s="276">
        <v>4610.62</v>
      </c>
      <c r="L57" s="276">
        <v>4743.83</v>
      </c>
      <c r="M57" s="276">
        <v>4560</v>
      </c>
      <c r="N57" s="276">
        <v>4567</v>
      </c>
      <c r="O57" s="276">
        <v>4567</v>
      </c>
      <c r="P57" s="281">
        <v>67520800000</v>
      </c>
      <c r="Q57" s="276"/>
      <c r="R57" s="279">
        <v>6.0470624292537342E-2</v>
      </c>
      <c r="S57" s="279">
        <f t="shared" si="1"/>
        <v>4.3612874972629799E-2</v>
      </c>
      <c r="T57" s="279"/>
    </row>
    <row r="58" spans="1:20" x14ac:dyDescent="0.2">
      <c r="A58" s="278">
        <v>44531</v>
      </c>
      <c r="B58" s="272">
        <v>237.66000399999999</v>
      </c>
      <c r="C58" s="272">
        <v>259.39999399999999</v>
      </c>
      <c r="D58" s="272">
        <v>236.61999499999999</v>
      </c>
      <c r="E58" s="272">
        <v>251.479996</v>
      </c>
      <c r="F58" s="272">
        <v>249.76994300000001</v>
      </c>
      <c r="G58" s="272">
        <v>28718500</v>
      </c>
      <c r="H58" s="279">
        <f t="shared" si="0"/>
        <v>1.4157500128027765E-2</v>
      </c>
      <c r="J58" s="280">
        <v>44531</v>
      </c>
      <c r="K58" s="276">
        <v>4602.82</v>
      </c>
      <c r="L58" s="276">
        <v>4808.93</v>
      </c>
      <c r="M58" s="276">
        <v>4495.12</v>
      </c>
      <c r="N58" s="276">
        <v>4766.18</v>
      </c>
      <c r="O58" s="276">
        <v>4766.18</v>
      </c>
      <c r="P58" s="281">
        <v>68699830000</v>
      </c>
      <c r="Q58" s="276"/>
      <c r="R58" s="279">
        <v>1.4157500128027765E-2</v>
      </c>
      <c r="S58" s="279">
        <f t="shared" si="1"/>
        <v>-5.2585089106999758E-2</v>
      </c>
      <c r="T58" s="279"/>
    </row>
    <row r="59" spans="1:20" x14ac:dyDescent="0.2">
      <c r="A59" s="278">
        <v>44562</v>
      </c>
      <c r="B59" s="272">
        <v>250.229996</v>
      </c>
      <c r="C59" s="272">
        <v>268.54998799999998</v>
      </c>
      <c r="D59" s="272">
        <v>246.91999799999999</v>
      </c>
      <c r="E59" s="272">
        <v>254.13999899999999</v>
      </c>
      <c r="F59" s="272">
        <v>253.306061</v>
      </c>
      <c r="G59" s="272">
        <v>29152900</v>
      </c>
      <c r="H59" s="279">
        <f t="shared" si="0"/>
        <v>6.7443198684456321E-2</v>
      </c>
      <c r="J59" s="280">
        <v>44562</v>
      </c>
      <c r="K59" s="276">
        <v>4778.1400000000003</v>
      </c>
      <c r="L59" s="276">
        <v>4818.62</v>
      </c>
      <c r="M59" s="276">
        <v>4222.62</v>
      </c>
      <c r="N59" s="276">
        <v>4515.55</v>
      </c>
      <c r="O59" s="276">
        <v>4515.55</v>
      </c>
      <c r="P59" s="281">
        <v>73279440000</v>
      </c>
      <c r="Q59" s="276"/>
      <c r="R59" s="279">
        <v>6.7443198684456321E-2</v>
      </c>
      <c r="S59" s="279">
        <f t="shared" si="1"/>
        <v>-3.136052086678269E-2</v>
      </c>
      <c r="T59" s="279"/>
    </row>
    <row r="60" spans="1:20" x14ac:dyDescent="0.2">
      <c r="A60" s="278">
        <v>44593</v>
      </c>
      <c r="B60" s="272">
        <v>254.36000100000001</v>
      </c>
      <c r="C60" s="272">
        <v>280.61999500000002</v>
      </c>
      <c r="D60" s="272">
        <v>250.929993</v>
      </c>
      <c r="E60" s="272">
        <v>271.27999899999998</v>
      </c>
      <c r="F60" s="272">
        <v>270.38983200000001</v>
      </c>
      <c r="G60" s="272">
        <v>27708300</v>
      </c>
      <c r="H60" s="279">
        <f t="shared" si="0"/>
        <v>-3.4060774149229214E-2</v>
      </c>
      <c r="J60" s="280">
        <v>44593</v>
      </c>
      <c r="K60" s="276">
        <v>4519.57</v>
      </c>
      <c r="L60" s="276">
        <v>4595.3100000000004</v>
      </c>
      <c r="M60" s="276">
        <v>4114.6499999999996</v>
      </c>
      <c r="N60" s="276">
        <v>4373.9399999999996</v>
      </c>
      <c r="O60" s="276">
        <v>4373.9399999999996</v>
      </c>
      <c r="P60" s="281">
        <v>73167790000</v>
      </c>
      <c r="Q60" s="276"/>
      <c r="R60" s="279">
        <v>-3.4060774149229214E-2</v>
      </c>
      <c r="S60" s="279">
        <f t="shared" si="1"/>
        <v>2.0388939948879112E-2</v>
      </c>
      <c r="T60" s="279"/>
    </row>
    <row r="61" spans="1:20" x14ac:dyDescent="0.2">
      <c r="A61" s="278">
        <v>44621</v>
      </c>
      <c r="B61" s="272">
        <v>271</v>
      </c>
      <c r="C61" s="272">
        <v>276.48998999999998</v>
      </c>
      <c r="D61" s="272">
        <v>254.16999799999999</v>
      </c>
      <c r="E61" s="272">
        <v>262.040009</v>
      </c>
      <c r="F61" s="272">
        <v>261.18014499999998</v>
      </c>
      <c r="G61" s="272">
        <v>19861800</v>
      </c>
      <c r="H61" s="279">
        <f t="shared" si="0"/>
        <v>3.292225754756419E-3</v>
      </c>
      <c r="J61" s="280">
        <v>44621</v>
      </c>
      <c r="K61" s="276">
        <v>4363.1400000000003</v>
      </c>
      <c r="L61" s="276">
        <v>4465.3999999999996</v>
      </c>
      <c r="M61" s="276">
        <v>4157.87</v>
      </c>
      <c r="N61" s="276">
        <v>4463.12</v>
      </c>
      <c r="O61" s="276">
        <v>4463.12</v>
      </c>
      <c r="P61" s="281">
        <v>66505140000</v>
      </c>
      <c r="Q61" s="276"/>
      <c r="R61" s="279">
        <v>3.292225754756419E-3</v>
      </c>
      <c r="S61" s="279">
        <f t="shared" si="1"/>
        <v>0</v>
      </c>
      <c r="T61" s="279"/>
    </row>
    <row r="62" spans="1:20" x14ac:dyDescent="0.2">
      <c r="A62" s="278">
        <v>44638</v>
      </c>
      <c r="B62" s="272">
        <v>261.41000400000001</v>
      </c>
      <c r="C62" s="272">
        <v>262.83999599999999</v>
      </c>
      <c r="D62" s="272">
        <v>257.73998999999998</v>
      </c>
      <c r="E62" s="272">
        <v>262.040009</v>
      </c>
      <c r="F62" s="272">
        <v>262.040009</v>
      </c>
      <c r="G62" s="272">
        <v>2612475</v>
      </c>
      <c r="J62" s="280">
        <v>44638</v>
      </c>
      <c r="K62" s="276">
        <v>4407.34</v>
      </c>
      <c r="L62" s="276">
        <v>4465.3999999999996</v>
      </c>
      <c r="M62" s="276">
        <v>4390.57</v>
      </c>
      <c r="N62" s="276">
        <v>4463.12</v>
      </c>
      <c r="O62" s="276">
        <v>4463.12</v>
      </c>
      <c r="P62" s="281">
        <v>4233761000</v>
      </c>
      <c r="Q62" s="276"/>
      <c r="T62" s="288"/>
    </row>
    <row r="63" spans="1:20" x14ac:dyDescent="0.2">
      <c r="J63" s="275"/>
    </row>
  </sheetData>
  <hyperlinks>
    <hyperlink ref="Y21" location="'Assumptions Explanation'!A30" display="Assumption 29" xr:uid="{7C5D55D4-CC2C-1241-935E-DFD313CCCAD4}"/>
    <hyperlink ref="Y22" location="'Assumptions Explanation'!A31" display="Assumption 30" xr:uid="{BE2E9E0E-D5F3-BD4A-B0BF-AE00DB079CA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2E7D-791D-3D46-A8ED-F75A3207F006}">
  <dimension ref="A1:E9"/>
  <sheetViews>
    <sheetView showGridLines="0" zoomScale="109" zoomScaleNormal="100" workbookViewId="0">
      <selection activeCell="H13" sqref="H13"/>
    </sheetView>
  </sheetViews>
  <sheetFormatPr baseColWidth="10" defaultColWidth="10.83203125" defaultRowHeight="14" x14ac:dyDescent="0.2"/>
  <cols>
    <col min="1" max="1" width="22" style="272" bestFit="1" customWidth="1"/>
    <col min="2" max="3" width="10.83203125" style="272"/>
    <col min="4" max="4" width="13.5" style="272" bestFit="1" customWidth="1"/>
    <col min="5" max="16384" width="10.83203125" style="272"/>
  </cols>
  <sheetData>
    <row r="1" spans="1:5" x14ac:dyDescent="0.2">
      <c r="A1" s="272" t="s">
        <v>545</v>
      </c>
      <c r="B1" s="272">
        <f>74621</f>
        <v>74621</v>
      </c>
      <c r="D1" s="272" t="s">
        <v>546</v>
      </c>
      <c r="E1" s="365">
        <f>B1/(B3+B1)</f>
        <v>0.80115913035578901</v>
      </c>
    </row>
    <row r="2" spans="1:5" x14ac:dyDescent="0.2">
      <c r="E2" s="365"/>
    </row>
    <row r="3" spans="1:5" x14ac:dyDescent="0.2">
      <c r="A3" s="272" t="s">
        <v>547</v>
      </c>
      <c r="B3" s="272">
        <v>18520.29637</v>
      </c>
      <c r="D3" s="272" t="s">
        <v>548</v>
      </c>
      <c r="E3" s="365">
        <f>B3/(B1+B3)</f>
        <v>0.19884086964421108</v>
      </c>
    </row>
    <row r="4" spans="1:5" x14ac:dyDescent="0.2">
      <c r="E4" s="365"/>
    </row>
    <row r="5" spans="1:5" x14ac:dyDescent="0.2">
      <c r="A5" s="272" t="s">
        <v>508</v>
      </c>
      <c r="B5" s="365">
        <f>'Cost of Debt'!H40/100</f>
        <v>2.4109514170857729E-2</v>
      </c>
      <c r="D5" s="272" t="s">
        <v>550</v>
      </c>
      <c r="E5" s="365">
        <f>B3/B1</f>
        <v>0.24819147920826576</v>
      </c>
    </row>
    <row r="6" spans="1:5" x14ac:dyDescent="0.2">
      <c r="B6" s="365"/>
    </row>
    <row r="7" spans="1:5" x14ac:dyDescent="0.2">
      <c r="A7" s="272" t="s">
        <v>91</v>
      </c>
      <c r="B7" s="365">
        <f>'Cost of Equity'!X24</f>
        <v>6.1305164965644227E-2</v>
      </c>
      <c r="D7" s="286" t="s">
        <v>95</v>
      </c>
      <c r="E7" s="273">
        <f>WACC!E1*WACC!B7+WACC!B5*WACC!E3*(1-WACC!B9)</f>
        <v>5.2902418494095611E-2</v>
      </c>
    </row>
    <row r="9" spans="1:5" x14ac:dyDescent="0.2">
      <c r="A9" s="272" t="s">
        <v>549</v>
      </c>
      <c r="B9" s="272">
        <v>0.21</v>
      </c>
      <c r="C9" s="249" t="s">
        <v>61</v>
      </c>
    </row>
  </sheetData>
  <hyperlinks>
    <hyperlink ref="C9" location="WACC!A7" display="Assumption 6" xr:uid="{F3F6E221-C086-9841-AF77-EB78D7C04A18}"/>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340A-3291-9145-998D-64E0B2FAD596}">
  <sheetPr codeName="Sheet5">
    <outlinePr summaryBelow="0" summaryRight="0"/>
  </sheetPr>
  <dimension ref="A1:G67"/>
  <sheetViews>
    <sheetView showGridLines="0" workbookViewId="0">
      <selection activeCell="B8" sqref="B8:G8"/>
    </sheetView>
  </sheetViews>
  <sheetFormatPr baseColWidth="10" defaultColWidth="9" defaultRowHeight="15" customHeight="1" outlineLevelRow="3" x14ac:dyDescent="0.15"/>
  <cols>
    <col min="1" max="1" width="51.5" style="27" customWidth="1"/>
    <col min="2" max="7" width="8" style="27" customWidth="1"/>
    <col min="8" max="16384" width="9" style="27"/>
  </cols>
  <sheetData>
    <row r="1" spans="1:7" ht="15" customHeight="1" x14ac:dyDescent="0.15">
      <c r="A1" s="56" t="s">
        <v>150</v>
      </c>
    </row>
    <row r="2" spans="1:7" ht="15" customHeight="1" x14ac:dyDescent="0.15">
      <c r="A2" s="55" t="s">
        <v>151</v>
      </c>
    </row>
    <row r="3" spans="1:7" ht="15" customHeight="1" x14ac:dyDescent="0.15">
      <c r="A3" s="54"/>
      <c r="B3" s="54"/>
      <c r="C3" s="54"/>
      <c r="D3" s="54"/>
      <c r="E3" s="54"/>
      <c r="F3" s="54"/>
      <c r="G3" s="54"/>
    </row>
    <row r="5" spans="1:7" ht="15" customHeight="1" x14ac:dyDescent="0.15">
      <c r="A5" s="53" t="s">
        <v>152</v>
      </c>
      <c r="B5" s="53"/>
      <c r="C5" s="53"/>
      <c r="D5" s="53"/>
      <c r="E5" s="53"/>
      <c r="F5" s="53"/>
      <c r="G5" s="53"/>
    </row>
    <row r="6" spans="1:7" ht="15" customHeight="1" x14ac:dyDescent="0.15">
      <c r="A6" s="53" t="s">
        <v>153</v>
      </c>
      <c r="B6" s="53"/>
      <c r="C6" s="53"/>
      <c r="D6" s="53"/>
      <c r="E6" s="53"/>
      <c r="F6" s="53"/>
      <c r="G6" s="53"/>
    </row>
    <row r="7" spans="1:7" ht="15" customHeight="1" x14ac:dyDescent="0.15">
      <c r="A7" s="53" t="s">
        <v>154</v>
      </c>
      <c r="B7" s="53"/>
      <c r="C7" s="53"/>
      <c r="D7" s="53"/>
      <c r="E7" s="53"/>
      <c r="F7" s="53"/>
      <c r="G7" s="53"/>
    </row>
    <row r="8" spans="1:7" ht="15" customHeight="1" x14ac:dyDescent="0.15">
      <c r="A8" s="53"/>
      <c r="B8" s="53" t="s">
        <v>155</v>
      </c>
      <c r="C8" s="53" t="s">
        <v>156</v>
      </c>
      <c r="D8" s="53" t="s">
        <v>157</v>
      </c>
      <c r="E8" s="53" t="s">
        <v>158</v>
      </c>
      <c r="F8" s="53" t="s">
        <v>159</v>
      </c>
      <c r="G8" s="53" t="s">
        <v>160</v>
      </c>
    </row>
    <row r="9" spans="1:7" ht="15" customHeight="1" x14ac:dyDescent="0.15">
      <c r="A9" s="53"/>
      <c r="B9" s="53"/>
      <c r="C9" s="53"/>
      <c r="D9" s="53"/>
      <c r="E9" s="53"/>
      <c r="F9" s="53"/>
      <c r="G9" s="53"/>
    </row>
    <row r="10" spans="1:7" ht="15" customHeight="1" x14ac:dyDescent="0.15">
      <c r="A10" s="53"/>
      <c r="B10" s="53"/>
      <c r="C10" s="53"/>
      <c r="D10" s="53" t="s">
        <v>161</v>
      </c>
      <c r="E10" s="53"/>
      <c r="F10" s="53"/>
      <c r="G10" s="53"/>
    </row>
    <row r="11" spans="1:7" ht="15" customHeight="1" x14ac:dyDescent="0.15">
      <c r="A11" s="35" t="s">
        <v>162</v>
      </c>
      <c r="B11" s="45">
        <v>12483</v>
      </c>
      <c r="C11" s="45">
        <v>12093</v>
      </c>
      <c r="D11" s="45">
        <v>15983</v>
      </c>
      <c r="E11" s="45">
        <v>17290</v>
      </c>
      <c r="F11" s="45">
        <v>17117</v>
      </c>
      <c r="G11" s="45">
        <v>20248</v>
      </c>
    </row>
    <row r="12" spans="1:7" ht="15" customHeight="1" outlineLevel="1" x14ac:dyDescent="0.15">
      <c r="A12" s="34" t="s">
        <v>163</v>
      </c>
      <c r="B12" s="33">
        <v>6492</v>
      </c>
      <c r="C12" s="33">
        <v>6151</v>
      </c>
      <c r="D12" s="33">
        <v>8714</v>
      </c>
      <c r="E12" s="33">
        <v>9002</v>
      </c>
      <c r="F12" s="33">
        <v>9540</v>
      </c>
      <c r="G12" s="33">
        <v>10772</v>
      </c>
    </row>
    <row r="13" spans="1:7" ht="15" customHeight="1" outlineLevel="2" x14ac:dyDescent="0.15">
      <c r="A13" s="32" t="s">
        <v>164</v>
      </c>
      <c r="B13" s="31">
        <v>5442</v>
      </c>
      <c r="C13" s="31">
        <v>5212</v>
      </c>
      <c r="D13" s="31">
        <v>6859</v>
      </c>
      <c r="E13" s="31">
        <v>6872</v>
      </c>
      <c r="F13" s="31">
        <v>7510</v>
      </c>
      <c r="G13" s="31">
        <v>8638</v>
      </c>
    </row>
    <row r="14" spans="1:7" ht="15" customHeight="1" outlineLevel="2" x14ac:dyDescent="0.15">
      <c r="A14" s="52" t="s">
        <v>165</v>
      </c>
      <c r="B14" s="33">
        <v>1050</v>
      </c>
      <c r="C14" s="33">
        <v>939</v>
      </c>
      <c r="D14" s="33">
        <v>1855</v>
      </c>
      <c r="E14" s="33">
        <v>2130</v>
      </c>
      <c r="F14" s="33">
        <v>2030</v>
      </c>
      <c r="G14" s="33">
        <v>2134</v>
      </c>
    </row>
    <row r="15" spans="1:7" ht="15" customHeight="1" outlineLevel="3" x14ac:dyDescent="0.15">
      <c r="A15" s="50" t="s">
        <v>166</v>
      </c>
      <c r="B15" s="31">
        <v>452</v>
      </c>
      <c r="C15" s="31">
        <v>406</v>
      </c>
      <c r="D15" s="31">
        <v>600</v>
      </c>
      <c r="E15" s="31">
        <v>633</v>
      </c>
      <c r="F15" s="31">
        <v>646</v>
      </c>
      <c r="G15" s="31">
        <v>731</v>
      </c>
    </row>
    <row r="16" spans="1:7" ht="15" customHeight="1" outlineLevel="3" x14ac:dyDescent="0.15">
      <c r="A16" s="49" t="s">
        <v>167</v>
      </c>
      <c r="B16" s="29">
        <v>598</v>
      </c>
      <c r="C16" s="29">
        <v>533</v>
      </c>
      <c r="D16" s="29">
        <v>1255</v>
      </c>
      <c r="E16" s="29">
        <v>1497</v>
      </c>
      <c r="F16" s="29">
        <v>1384</v>
      </c>
      <c r="G16" s="29">
        <v>1403</v>
      </c>
    </row>
    <row r="17" spans="1:7" ht="15" customHeight="1" x14ac:dyDescent="0.15">
      <c r="A17" s="35" t="s">
        <v>168</v>
      </c>
      <c r="B17" s="45">
        <v>5991</v>
      </c>
      <c r="C17" s="45">
        <v>5942</v>
      </c>
      <c r="D17" s="45">
        <v>7269</v>
      </c>
      <c r="E17" s="45">
        <v>8288</v>
      </c>
      <c r="F17" s="45">
        <v>7577</v>
      </c>
      <c r="G17" s="45">
        <v>9476</v>
      </c>
    </row>
    <row r="18" spans="1:7" ht="15" customHeight="1" outlineLevel="1" x14ac:dyDescent="0.15">
      <c r="A18" s="34" t="s">
        <v>169</v>
      </c>
      <c r="B18" s="33">
        <v>3833</v>
      </c>
      <c r="C18" s="33">
        <v>3699</v>
      </c>
      <c r="D18" s="33">
        <v>5020</v>
      </c>
      <c r="E18" s="33">
        <v>5394</v>
      </c>
      <c r="F18" s="33">
        <v>5421</v>
      </c>
      <c r="G18" s="33">
        <v>6206</v>
      </c>
    </row>
    <row r="19" spans="1:7" ht="15" customHeight="1" outlineLevel="2" x14ac:dyDescent="0.15">
      <c r="A19" s="32" t="s">
        <v>170</v>
      </c>
      <c r="B19" s="31">
        <v>828</v>
      </c>
      <c r="C19" s="31">
        <v>774</v>
      </c>
      <c r="D19" s="31">
        <v>1004</v>
      </c>
      <c r="E19" s="31">
        <v>1062</v>
      </c>
      <c r="F19" s="31">
        <v>1096</v>
      </c>
      <c r="G19" s="31">
        <v>1339</v>
      </c>
    </row>
    <row r="20" spans="1:7" ht="15" customHeight="1" outlineLevel="2" x14ac:dyDescent="0.15">
      <c r="A20" s="30" t="s">
        <v>171</v>
      </c>
      <c r="B20" s="29">
        <v>3005</v>
      </c>
      <c r="C20" s="29">
        <v>2925</v>
      </c>
      <c r="D20" s="29">
        <v>4016</v>
      </c>
      <c r="E20" s="29">
        <v>4332</v>
      </c>
      <c r="F20" s="29">
        <v>4325</v>
      </c>
      <c r="G20" s="29">
        <v>4867</v>
      </c>
    </row>
    <row r="21" spans="1:7" ht="15" customHeight="1" x14ac:dyDescent="0.15">
      <c r="A21" s="35" t="s">
        <v>172</v>
      </c>
      <c r="B21" s="45">
        <v>2158</v>
      </c>
      <c r="C21" s="45">
        <v>2243</v>
      </c>
      <c r="D21" s="45">
        <v>2249</v>
      </c>
      <c r="E21" s="45">
        <v>2894</v>
      </c>
      <c r="F21" s="45">
        <v>2156</v>
      </c>
      <c r="G21" s="45">
        <v>3270</v>
      </c>
    </row>
    <row r="22" spans="1:7" ht="15" customHeight="1" outlineLevel="1" x14ac:dyDescent="0.15">
      <c r="A22" s="34" t="s">
        <v>173</v>
      </c>
      <c r="B22" s="33">
        <v>54</v>
      </c>
      <c r="C22" s="33">
        <v>103</v>
      </c>
      <c r="D22" s="33">
        <v>400</v>
      </c>
      <c r="E22" s="33">
        <v>-552</v>
      </c>
      <c r="F22" s="33">
        <v>-309</v>
      </c>
      <c r="G22" s="33">
        <v>229</v>
      </c>
    </row>
    <row r="23" spans="1:7" ht="15" customHeight="1" outlineLevel="2" x14ac:dyDescent="0.15">
      <c r="A23" s="32" t="s">
        <v>174</v>
      </c>
      <c r="B23" s="31">
        <v>29</v>
      </c>
      <c r="C23" s="31">
        <v>79</v>
      </c>
      <c r="D23" s="31">
        <v>73</v>
      </c>
      <c r="E23" s="31">
        <v>30</v>
      </c>
      <c r="F23" s="31">
        <v>7</v>
      </c>
      <c r="G23" s="31">
        <v>9</v>
      </c>
    </row>
    <row r="24" spans="1:7" ht="15" customHeight="1" outlineLevel="2" x14ac:dyDescent="0.15">
      <c r="A24" s="30" t="s">
        <v>175</v>
      </c>
      <c r="B24" s="29">
        <v>25</v>
      </c>
      <c r="C24" s="29">
        <v>24</v>
      </c>
      <c r="D24" s="29">
        <v>327</v>
      </c>
      <c r="E24" s="46">
        <v>-582</v>
      </c>
      <c r="F24" s="46">
        <v>-316</v>
      </c>
      <c r="G24" s="29">
        <v>220</v>
      </c>
    </row>
    <row r="25" spans="1:7" ht="15" customHeight="1" outlineLevel="1" x14ac:dyDescent="0.15">
      <c r="A25" s="38" t="s">
        <v>176</v>
      </c>
      <c r="B25" s="45">
        <v>407</v>
      </c>
      <c r="C25" s="45">
        <v>521</v>
      </c>
      <c r="D25" s="45">
        <v>706</v>
      </c>
      <c r="E25" s="45">
        <v>639</v>
      </c>
      <c r="F25" s="45">
        <v>528</v>
      </c>
      <c r="G25" s="45">
        <v>469</v>
      </c>
    </row>
    <row r="26" spans="1:7" ht="15" customHeight="1" outlineLevel="2" x14ac:dyDescent="0.15">
      <c r="A26" s="30" t="s">
        <v>177</v>
      </c>
      <c r="B26" s="29">
        <v>437</v>
      </c>
      <c r="C26" s="29">
        <v>553</v>
      </c>
      <c r="D26" s="29">
        <v>748</v>
      </c>
      <c r="E26" s="29">
        <v>683</v>
      </c>
      <c r="F26" s="29">
        <v>571</v>
      </c>
      <c r="G26" s="29">
        <v>513</v>
      </c>
    </row>
    <row r="27" spans="1:7" ht="15" customHeight="1" outlineLevel="2" x14ac:dyDescent="0.15">
      <c r="A27" s="32" t="s">
        <v>178</v>
      </c>
      <c r="B27" s="31">
        <v>30</v>
      </c>
      <c r="C27" s="31">
        <v>32</v>
      </c>
      <c r="D27" s="31">
        <v>42</v>
      </c>
      <c r="E27" s="31">
        <v>44</v>
      </c>
      <c r="F27" s="31">
        <v>43</v>
      </c>
      <c r="G27" s="31">
        <v>44</v>
      </c>
    </row>
    <row r="28" spans="1:7" ht="15" customHeight="1" outlineLevel="1" x14ac:dyDescent="0.15">
      <c r="A28" s="34" t="s">
        <v>179</v>
      </c>
      <c r="B28" s="33">
        <v>731</v>
      </c>
      <c r="C28" s="33">
        <v>849</v>
      </c>
      <c r="D28" s="33">
        <v>770</v>
      </c>
      <c r="E28" s="33">
        <v>527</v>
      </c>
      <c r="F28" s="33">
        <v>334</v>
      </c>
      <c r="G28" s="33">
        <v>788</v>
      </c>
    </row>
    <row r="29" spans="1:7" ht="15" customHeight="1" outlineLevel="2" x14ac:dyDescent="0.15">
      <c r="A29" s="51" t="s">
        <v>180</v>
      </c>
      <c r="B29" s="35"/>
      <c r="C29" s="35"/>
      <c r="D29" s="35"/>
      <c r="E29" s="35"/>
      <c r="F29" s="35"/>
      <c r="G29" s="45">
        <v>49</v>
      </c>
    </row>
    <row r="30" spans="1:7" ht="15" customHeight="1" outlineLevel="3" x14ac:dyDescent="0.15">
      <c r="A30" s="49" t="s">
        <v>181</v>
      </c>
      <c r="B30" s="29">
        <v>0</v>
      </c>
      <c r="C30" s="29">
        <v>0</v>
      </c>
      <c r="D30" s="29">
        <v>0</v>
      </c>
      <c r="E30" s="29">
        <v>0</v>
      </c>
      <c r="F30" s="29">
        <v>0</v>
      </c>
      <c r="G30" s="29">
        <v>0</v>
      </c>
    </row>
    <row r="31" spans="1:7" ht="15" customHeight="1" outlineLevel="3" x14ac:dyDescent="0.15">
      <c r="A31" s="50" t="s">
        <v>182</v>
      </c>
      <c r="B31" s="48"/>
      <c r="C31" s="48"/>
      <c r="D31" s="48"/>
      <c r="E31" s="48"/>
      <c r="F31" s="48"/>
      <c r="G31" s="31">
        <v>49</v>
      </c>
    </row>
    <row r="32" spans="1:7" ht="15" customHeight="1" outlineLevel="2" x14ac:dyDescent="0.15">
      <c r="A32" s="30" t="s">
        <v>183</v>
      </c>
      <c r="B32" s="29">
        <v>0</v>
      </c>
      <c r="C32" s="29">
        <v>411</v>
      </c>
      <c r="D32" s="40"/>
      <c r="E32" s="40"/>
      <c r="F32" s="40"/>
      <c r="G32" s="40"/>
    </row>
    <row r="33" spans="1:7" ht="15" customHeight="1" outlineLevel="2" x14ac:dyDescent="0.15">
      <c r="A33" s="32" t="s">
        <v>184</v>
      </c>
      <c r="B33" s="31">
        <v>728</v>
      </c>
      <c r="C33" s="31">
        <v>354</v>
      </c>
      <c r="D33" s="31">
        <v>740</v>
      </c>
      <c r="E33" s="31">
        <v>480</v>
      </c>
      <c r="F33" s="31">
        <v>309</v>
      </c>
      <c r="G33" s="31">
        <v>185</v>
      </c>
    </row>
    <row r="34" spans="1:7" ht="15" customHeight="1" outlineLevel="2" x14ac:dyDescent="0.15">
      <c r="A34" s="30" t="s">
        <v>185</v>
      </c>
      <c r="B34" s="40"/>
      <c r="C34" s="40"/>
      <c r="D34" s="40"/>
      <c r="E34" s="40"/>
      <c r="F34" s="40"/>
      <c r="G34" s="29">
        <v>363</v>
      </c>
    </row>
    <row r="35" spans="1:7" ht="15" customHeight="1" outlineLevel="2" x14ac:dyDescent="0.15">
      <c r="A35" s="51" t="s">
        <v>186</v>
      </c>
      <c r="B35" s="45">
        <v>-3</v>
      </c>
      <c r="C35" s="45">
        <v>-11</v>
      </c>
      <c r="D35" s="45">
        <v>-14</v>
      </c>
      <c r="E35" s="45">
        <v>-23</v>
      </c>
      <c r="F35" s="45">
        <v>-17</v>
      </c>
      <c r="G35" s="45">
        <v>-13</v>
      </c>
    </row>
    <row r="36" spans="1:7" ht="15" customHeight="1" outlineLevel="3" x14ac:dyDescent="0.15">
      <c r="A36" s="49" t="s">
        <v>187</v>
      </c>
      <c r="B36" s="46">
        <v>-3</v>
      </c>
      <c r="C36" s="46">
        <v>-11</v>
      </c>
      <c r="D36" s="46">
        <v>-14</v>
      </c>
      <c r="E36" s="46">
        <v>-23</v>
      </c>
      <c r="F36" s="46">
        <v>-17</v>
      </c>
      <c r="G36" s="46">
        <v>-13</v>
      </c>
    </row>
    <row r="37" spans="1:7" ht="15" customHeight="1" outlineLevel="2" x14ac:dyDescent="0.15">
      <c r="A37" s="51" t="s">
        <v>188</v>
      </c>
      <c r="B37" s="35"/>
      <c r="C37" s="45">
        <v>73</v>
      </c>
      <c r="D37" s="45">
        <v>16</v>
      </c>
      <c r="E37" s="45">
        <v>24</v>
      </c>
      <c r="F37" s="45">
        <v>8</v>
      </c>
      <c r="G37" s="45">
        <v>178</v>
      </c>
    </row>
    <row r="38" spans="1:7" ht="15" customHeight="1" outlineLevel="3" x14ac:dyDescent="0.15">
      <c r="A38" s="49" t="s">
        <v>189</v>
      </c>
      <c r="B38" s="40"/>
      <c r="C38" s="29">
        <v>73</v>
      </c>
      <c r="D38" s="29">
        <v>16</v>
      </c>
      <c r="E38" s="29">
        <v>59</v>
      </c>
      <c r="F38" s="29">
        <v>8</v>
      </c>
      <c r="G38" s="29">
        <v>178</v>
      </c>
    </row>
    <row r="39" spans="1:7" ht="15" customHeight="1" outlineLevel="3" x14ac:dyDescent="0.15">
      <c r="A39" s="50" t="s">
        <v>190</v>
      </c>
      <c r="B39" s="48"/>
      <c r="C39" s="48"/>
      <c r="D39" s="48"/>
      <c r="E39" s="48"/>
      <c r="F39" s="48"/>
      <c r="G39" s="48"/>
    </row>
    <row r="40" spans="1:7" ht="15" customHeight="1" outlineLevel="3" x14ac:dyDescent="0.15">
      <c r="A40" s="49" t="s">
        <v>191</v>
      </c>
      <c r="B40" s="40"/>
      <c r="C40" s="40"/>
      <c r="D40" s="29">
        <v>0</v>
      </c>
      <c r="E40" s="46">
        <v>-35</v>
      </c>
      <c r="F40" s="29">
        <v>0</v>
      </c>
      <c r="G40" s="29">
        <v>0</v>
      </c>
    </row>
    <row r="41" spans="1:7" ht="15" customHeight="1" x14ac:dyDescent="0.15">
      <c r="A41" s="35" t="s">
        <v>192</v>
      </c>
      <c r="B41" s="45">
        <v>1074</v>
      </c>
      <c r="C41" s="45">
        <v>976</v>
      </c>
      <c r="D41" s="45">
        <v>1173</v>
      </c>
      <c r="E41" s="45">
        <v>1176</v>
      </c>
      <c r="F41" s="45">
        <v>985</v>
      </c>
      <c r="G41" s="45">
        <v>2242</v>
      </c>
    </row>
    <row r="42" spans="1:7" ht="15" customHeight="1" outlineLevel="1" x14ac:dyDescent="0.15">
      <c r="A42" s="34" t="s">
        <v>193</v>
      </c>
      <c r="B42" s="33">
        <v>98</v>
      </c>
      <c r="C42" s="33">
        <v>-124</v>
      </c>
      <c r="D42" s="33">
        <v>862</v>
      </c>
      <c r="E42" s="33">
        <v>-57</v>
      </c>
      <c r="F42" s="33">
        <v>111</v>
      </c>
      <c r="G42" s="33">
        <v>150</v>
      </c>
    </row>
    <row r="43" spans="1:7" ht="15" customHeight="1" outlineLevel="2" x14ac:dyDescent="0.15">
      <c r="A43" s="32" t="s">
        <v>194</v>
      </c>
      <c r="B43" s="31">
        <v>331</v>
      </c>
      <c r="C43" s="47">
        <v>-250</v>
      </c>
      <c r="D43" s="31">
        <v>737</v>
      </c>
      <c r="E43" s="31">
        <v>276</v>
      </c>
      <c r="F43" s="47">
        <v>-3</v>
      </c>
      <c r="G43" s="31">
        <v>148</v>
      </c>
    </row>
    <row r="44" spans="1:7" ht="15" customHeight="1" outlineLevel="2" x14ac:dyDescent="0.15">
      <c r="A44" s="30" t="s">
        <v>195</v>
      </c>
      <c r="B44" s="29">
        <v>286</v>
      </c>
      <c r="C44" s="29">
        <v>200</v>
      </c>
      <c r="D44" s="29">
        <v>387</v>
      </c>
      <c r="E44" s="29">
        <v>300</v>
      </c>
      <c r="F44" s="29">
        <v>400</v>
      </c>
      <c r="G44" s="29">
        <v>290</v>
      </c>
    </row>
    <row r="45" spans="1:7" ht="15" customHeight="1" outlineLevel="2" x14ac:dyDescent="0.15">
      <c r="A45" s="32" t="s">
        <v>196</v>
      </c>
      <c r="B45" s="47">
        <v>-441</v>
      </c>
      <c r="C45" s="47">
        <v>-64</v>
      </c>
      <c r="D45" s="47">
        <v>-201</v>
      </c>
      <c r="E45" s="47">
        <v>-566</v>
      </c>
      <c r="F45" s="47">
        <v>-185</v>
      </c>
      <c r="G45" s="47">
        <v>-286</v>
      </c>
    </row>
    <row r="46" spans="1:7" ht="15" customHeight="1" outlineLevel="2" x14ac:dyDescent="0.15">
      <c r="A46" s="30" t="s">
        <v>197</v>
      </c>
      <c r="B46" s="46">
        <v>-78</v>
      </c>
      <c r="C46" s="46">
        <v>-10</v>
      </c>
      <c r="D46" s="46">
        <v>-61</v>
      </c>
      <c r="E46" s="46">
        <v>-67</v>
      </c>
      <c r="F46" s="46">
        <v>-101</v>
      </c>
      <c r="G46" s="46">
        <v>-2</v>
      </c>
    </row>
    <row r="47" spans="1:7" ht="15" customHeight="1" outlineLevel="1" x14ac:dyDescent="0.15">
      <c r="A47" s="44" t="s">
        <v>198</v>
      </c>
      <c r="B47" s="31">
        <v>0</v>
      </c>
      <c r="C47" s="31">
        <v>0</v>
      </c>
      <c r="D47" s="31">
        <v>0</v>
      </c>
      <c r="E47" s="31">
        <v>1</v>
      </c>
      <c r="F47" s="31">
        <v>0</v>
      </c>
      <c r="G47" s="31">
        <v>0</v>
      </c>
    </row>
    <row r="48" spans="1:7" ht="15" customHeight="1" x14ac:dyDescent="0.15">
      <c r="A48" s="40" t="s">
        <v>199</v>
      </c>
      <c r="B48" s="29">
        <v>976</v>
      </c>
      <c r="C48" s="29">
        <v>1100</v>
      </c>
      <c r="D48" s="29">
        <v>311</v>
      </c>
      <c r="E48" s="29">
        <v>1234</v>
      </c>
      <c r="F48" s="29">
        <v>874</v>
      </c>
      <c r="G48" s="29">
        <v>2092</v>
      </c>
    </row>
    <row r="49" spans="1:7" ht="15" customHeight="1" x14ac:dyDescent="0.15">
      <c r="A49" s="35" t="s">
        <v>200</v>
      </c>
      <c r="B49" s="45">
        <v>976</v>
      </c>
      <c r="C49" s="45">
        <v>1100</v>
      </c>
      <c r="D49" s="45">
        <v>311</v>
      </c>
      <c r="E49" s="45">
        <v>1234</v>
      </c>
      <c r="F49" s="45">
        <v>874</v>
      </c>
      <c r="G49" s="45">
        <v>2092</v>
      </c>
    </row>
    <row r="50" spans="1:7" ht="15" customHeight="1" outlineLevel="1" x14ac:dyDescent="0.15">
      <c r="A50" s="41" t="s">
        <v>201</v>
      </c>
      <c r="B50" s="29">
        <v>0</v>
      </c>
      <c r="C50" s="29">
        <v>0</v>
      </c>
      <c r="D50" s="29">
        <v>0</v>
      </c>
      <c r="E50" s="29">
        <v>0</v>
      </c>
      <c r="F50" s="29">
        <v>0</v>
      </c>
      <c r="G50" s="29">
        <v>0</v>
      </c>
    </row>
    <row r="51" spans="1:7" ht="15" customHeight="1" outlineLevel="1" x14ac:dyDescent="0.15">
      <c r="A51" s="44" t="s">
        <v>202</v>
      </c>
      <c r="B51" s="31">
        <v>0</v>
      </c>
      <c r="C51" s="31">
        <v>70</v>
      </c>
      <c r="D51" s="31">
        <v>152</v>
      </c>
      <c r="E51" s="31">
        <v>152</v>
      </c>
      <c r="F51" s="31">
        <v>107</v>
      </c>
      <c r="G51" s="31">
        <v>90</v>
      </c>
    </row>
    <row r="52" spans="1:7" ht="15" customHeight="1" outlineLevel="1" x14ac:dyDescent="0.15">
      <c r="A52" s="41" t="s">
        <v>203</v>
      </c>
      <c r="B52" s="29">
        <v>976</v>
      </c>
      <c r="C52" s="29">
        <v>1030</v>
      </c>
      <c r="D52" s="29">
        <v>159</v>
      </c>
      <c r="E52" s="29">
        <v>1082</v>
      </c>
      <c r="F52" s="29">
        <v>767</v>
      </c>
      <c r="G52" s="29">
        <v>2002</v>
      </c>
    </row>
    <row r="53" spans="1:7" ht="15" customHeight="1" x14ac:dyDescent="0.15">
      <c r="A53" s="35" t="s">
        <v>204</v>
      </c>
      <c r="B53" s="35"/>
      <c r="C53" s="35"/>
      <c r="D53" s="35"/>
      <c r="E53" s="35"/>
      <c r="F53" s="35"/>
      <c r="G53" s="35"/>
    </row>
    <row r="54" spans="1:7" ht="15" customHeight="1" outlineLevel="1" x14ac:dyDescent="0.15">
      <c r="A54" s="34" t="s">
        <v>205</v>
      </c>
      <c r="B54" s="43">
        <v>6.8388679999999997</v>
      </c>
      <c r="C54" s="43">
        <v>7.2647009999999996</v>
      </c>
      <c r="D54" s="43">
        <v>2.6377350000000002</v>
      </c>
      <c r="E54" s="43">
        <v>5.2803199999999997</v>
      </c>
      <c r="F54" s="43">
        <v>3.5438839999999998</v>
      </c>
      <c r="G54" s="43">
        <v>8.7425409999999992</v>
      </c>
    </row>
    <row r="55" spans="1:7" ht="15" customHeight="1" outlineLevel="2" x14ac:dyDescent="0.15">
      <c r="A55" s="32" t="s">
        <v>206</v>
      </c>
      <c r="B55" s="42">
        <v>212.702</v>
      </c>
      <c r="C55" s="42">
        <v>218.94300000000001</v>
      </c>
      <c r="D55" s="42">
        <v>258.35399999999998</v>
      </c>
      <c r="E55" s="42">
        <v>269.94299999999998</v>
      </c>
      <c r="F55" s="42">
        <v>278.971</v>
      </c>
      <c r="G55" s="42">
        <v>289.28800000000001</v>
      </c>
    </row>
    <row r="56" spans="1:7" ht="15" customHeight="1" outlineLevel="2" x14ac:dyDescent="0.15">
      <c r="A56" s="30" t="s">
        <v>207</v>
      </c>
      <c r="B56" s="39">
        <v>213.29122599999999</v>
      </c>
      <c r="C56" s="39">
        <v>227.94240199999999</v>
      </c>
      <c r="D56" s="39">
        <v>268.22418900000002</v>
      </c>
      <c r="E56" s="39">
        <v>270.427325</v>
      </c>
      <c r="F56" s="39">
        <v>290.01724400000001</v>
      </c>
      <c r="G56" s="39">
        <v>284.47595200000001</v>
      </c>
    </row>
    <row r="57" spans="1:7" ht="15" customHeight="1" outlineLevel="1" x14ac:dyDescent="0.15">
      <c r="A57" s="38" t="s">
        <v>208</v>
      </c>
      <c r="B57" s="37">
        <v>4.49</v>
      </c>
      <c r="C57" s="37">
        <v>4.6067</v>
      </c>
      <c r="D57" s="37">
        <v>0.6</v>
      </c>
      <c r="E57" s="37">
        <v>3.94</v>
      </c>
      <c r="F57" s="37">
        <v>2.7160000000000002</v>
      </c>
      <c r="G57" s="37">
        <v>6.8540999999999999</v>
      </c>
    </row>
    <row r="58" spans="1:7" ht="15" customHeight="1" outlineLevel="2" x14ac:dyDescent="0.15">
      <c r="A58" s="30" t="s">
        <v>209</v>
      </c>
      <c r="B58" s="39">
        <v>217.536</v>
      </c>
      <c r="C58" s="39">
        <v>223.58799999999999</v>
      </c>
      <c r="D58" s="39">
        <v>264.62099999999998</v>
      </c>
      <c r="E58" s="39">
        <v>274.77499999999998</v>
      </c>
      <c r="F58" s="39">
        <v>282.40199999999999</v>
      </c>
      <c r="G58" s="39">
        <v>292.089</v>
      </c>
    </row>
    <row r="59" spans="1:7" ht="15" customHeight="1" outlineLevel="2" x14ac:dyDescent="0.15">
      <c r="A59" s="32" t="s">
        <v>207</v>
      </c>
      <c r="B59" s="42">
        <v>213.29122599999999</v>
      </c>
      <c r="C59" s="42">
        <v>227.94240199999999</v>
      </c>
      <c r="D59" s="42">
        <v>268.22418900000002</v>
      </c>
      <c r="E59" s="42">
        <v>270.427325</v>
      </c>
      <c r="F59" s="42">
        <v>290.01724400000001</v>
      </c>
      <c r="G59" s="42">
        <v>284.47595200000001</v>
      </c>
    </row>
    <row r="60" spans="1:7" ht="15" customHeight="1" outlineLevel="1" x14ac:dyDescent="0.15">
      <c r="A60" s="41" t="s">
        <v>210</v>
      </c>
      <c r="B60" s="39">
        <v>88.730999999999995</v>
      </c>
      <c r="C60" s="39">
        <v>93.647999999999996</v>
      </c>
      <c r="D60" s="39">
        <v>60.552999999999997</v>
      </c>
      <c r="E60" s="39">
        <v>90.814999999999998</v>
      </c>
      <c r="F60" s="39">
        <v>91.888000000000005</v>
      </c>
      <c r="G60" s="39">
        <v>94.873000000000005</v>
      </c>
    </row>
    <row r="61" spans="1:7" ht="15" customHeight="1" outlineLevel="1" x14ac:dyDescent="0.15">
      <c r="A61" s="38" t="s">
        <v>211</v>
      </c>
      <c r="B61" s="37">
        <v>2.64</v>
      </c>
      <c r="C61" s="37">
        <v>2.92</v>
      </c>
      <c r="D61" s="37">
        <v>3</v>
      </c>
      <c r="E61" s="37">
        <v>3.08</v>
      </c>
      <c r="F61" s="37">
        <v>3.16</v>
      </c>
      <c r="G61" s="37">
        <v>3.32</v>
      </c>
    </row>
    <row r="62" spans="1:7" ht="15" customHeight="1" outlineLevel="2" x14ac:dyDescent="0.15">
      <c r="A62" s="30" t="s">
        <v>212</v>
      </c>
      <c r="B62" s="36">
        <v>58.797327000000003</v>
      </c>
      <c r="C62" s="36">
        <v>63.385938000000003</v>
      </c>
      <c r="D62" s="36">
        <v>500</v>
      </c>
      <c r="E62" s="36">
        <v>78.172589000000002</v>
      </c>
      <c r="F62" s="36">
        <v>116.34757</v>
      </c>
      <c r="G62" s="36">
        <v>48.438161000000001</v>
      </c>
    </row>
    <row r="63" spans="1:7" ht="15" customHeight="1" x14ac:dyDescent="0.15">
      <c r="A63" s="35" t="s">
        <v>213</v>
      </c>
      <c r="B63" s="35"/>
      <c r="C63" s="35"/>
      <c r="D63" s="35"/>
      <c r="E63" s="35"/>
      <c r="F63" s="35"/>
      <c r="G63" s="35"/>
    </row>
    <row r="64" spans="1:7" ht="15" customHeight="1" outlineLevel="1" x14ac:dyDescent="0.15">
      <c r="A64" s="34" t="s">
        <v>213</v>
      </c>
      <c r="B64" s="33">
        <v>3208</v>
      </c>
      <c r="C64" s="33">
        <v>3182</v>
      </c>
      <c r="D64" s="33">
        <v>4104</v>
      </c>
      <c r="E64" s="33">
        <v>5024</v>
      </c>
      <c r="F64" s="33">
        <v>4186</v>
      </c>
      <c r="G64" s="33">
        <v>5404</v>
      </c>
    </row>
    <row r="65" spans="1:7" ht="15" customHeight="1" outlineLevel="2" x14ac:dyDescent="0.15">
      <c r="A65" s="32" t="s">
        <v>101</v>
      </c>
      <c r="B65" s="31">
        <v>2158</v>
      </c>
      <c r="C65" s="31">
        <v>2243</v>
      </c>
      <c r="D65" s="31">
        <v>2249</v>
      </c>
      <c r="E65" s="31">
        <v>2894</v>
      </c>
      <c r="F65" s="31">
        <v>2156</v>
      </c>
      <c r="G65" s="31">
        <v>3270</v>
      </c>
    </row>
    <row r="66" spans="1:7" ht="15" customHeight="1" outlineLevel="2" x14ac:dyDescent="0.15">
      <c r="A66" s="30" t="s">
        <v>165</v>
      </c>
      <c r="B66" s="29">
        <v>1050</v>
      </c>
      <c r="C66" s="29">
        <v>939</v>
      </c>
      <c r="D66" s="29">
        <v>1855</v>
      </c>
      <c r="E66" s="29">
        <v>2130</v>
      </c>
      <c r="F66" s="29">
        <v>2030</v>
      </c>
      <c r="G66" s="29">
        <v>2134</v>
      </c>
    </row>
    <row r="67" spans="1:7" ht="15" customHeight="1" x14ac:dyDescent="0.15">
      <c r="A67" s="28" t="s">
        <v>214</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B10B-C937-2F4B-BC38-10176565EFB2}">
  <sheetPr codeName="Sheet9">
    <outlinePr summaryBelow="0" summaryRight="0"/>
  </sheetPr>
  <dimension ref="A1:G78"/>
  <sheetViews>
    <sheetView showGridLines="0" zoomScale="109" zoomScaleNormal="109" workbookViewId="0">
      <selection activeCell="A14" sqref="A14"/>
    </sheetView>
  </sheetViews>
  <sheetFormatPr baseColWidth="10" defaultColWidth="9" defaultRowHeight="15" customHeight="1" outlineLevelRow="3" x14ac:dyDescent="0.15"/>
  <cols>
    <col min="1" max="1" width="65.83203125" style="27" customWidth="1"/>
    <col min="2" max="7" width="8" style="27" customWidth="1"/>
    <col min="8" max="16384" width="9" style="27"/>
  </cols>
  <sheetData>
    <row r="1" spans="1:7" ht="15" customHeight="1" x14ac:dyDescent="0.15">
      <c r="A1" s="56" t="s">
        <v>150</v>
      </c>
    </row>
    <row r="2" spans="1:7" ht="15" customHeight="1" x14ac:dyDescent="0.15">
      <c r="A2" s="55" t="s">
        <v>151</v>
      </c>
    </row>
    <row r="3" spans="1:7" ht="15" customHeight="1" x14ac:dyDescent="0.15">
      <c r="A3" s="54"/>
      <c r="B3" s="54"/>
      <c r="C3" s="54"/>
      <c r="D3" s="54"/>
      <c r="E3" s="54"/>
      <c r="F3" s="54"/>
      <c r="G3" s="54"/>
    </row>
    <row r="5" spans="1:7" ht="15" customHeight="1" x14ac:dyDescent="0.15">
      <c r="A5" s="53" t="s">
        <v>152</v>
      </c>
      <c r="B5" s="53"/>
      <c r="C5" s="53"/>
      <c r="D5" s="53"/>
      <c r="E5" s="53"/>
      <c r="F5" s="53"/>
      <c r="G5" s="53"/>
    </row>
    <row r="6" spans="1:7" ht="15" customHeight="1" x14ac:dyDescent="0.15">
      <c r="A6" s="53" t="s">
        <v>153</v>
      </c>
      <c r="B6" s="53"/>
      <c r="C6" s="53"/>
      <c r="D6" s="53"/>
      <c r="E6" s="53"/>
      <c r="F6" s="53"/>
      <c r="G6" s="53"/>
    </row>
    <row r="7" spans="1:7" ht="15" customHeight="1" x14ac:dyDescent="0.15">
      <c r="A7" s="53" t="s">
        <v>154</v>
      </c>
      <c r="B7" s="53"/>
      <c r="C7" s="53"/>
      <c r="D7" s="53"/>
      <c r="E7" s="53"/>
      <c r="F7" s="53"/>
      <c r="G7" s="53"/>
    </row>
    <row r="8" spans="1:7" ht="15" customHeight="1" x14ac:dyDescent="0.15">
      <c r="A8" s="53"/>
      <c r="B8" s="53" t="s">
        <v>155</v>
      </c>
      <c r="C8" s="53" t="s">
        <v>156</v>
      </c>
      <c r="D8" s="53" t="s">
        <v>157</v>
      </c>
      <c r="E8" s="53" t="s">
        <v>158</v>
      </c>
      <c r="F8" s="53" t="s">
        <v>159</v>
      </c>
      <c r="G8" s="53" t="s">
        <v>160</v>
      </c>
    </row>
    <row r="9" spans="1:7" ht="15" customHeight="1" x14ac:dyDescent="0.15">
      <c r="A9" s="53"/>
      <c r="B9" s="53"/>
      <c r="C9" s="53"/>
      <c r="D9" s="53" t="s">
        <v>551</v>
      </c>
      <c r="E9" s="53"/>
      <c r="F9" s="53"/>
      <c r="G9" s="53"/>
    </row>
    <row r="10" spans="1:7" ht="15" customHeight="1" x14ac:dyDescent="0.15">
      <c r="A10" s="57" t="s">
        <v>215</v>
      </c>
      <c r="B10" s="57"/>
      <c r="C10" s="57"/>
      <c r="D10" s="57"/>
      <c r="E10" s="57"/>
      <c r="F10" s="57"/>
      <c r="G10" s="57"/>
    </row>
    <row r="11" spans="1:7" ht="15" customHeight="1" outlineLevel="1" x14ac:dyDescent="0.15">
      <c r="A11" s="38" t="s">
        <v>216</v>
      </c>
      <c r="B11" s="45">
        <v>1568</v>
      </c>
      <c r="C11" s="45">
        <v>14200</v>
      </c>
      <c r="D11" s="45">
        <v>1253</v>
      </c>
      <c r="E11" s="45">
        <v>620</v>
      </c>
      <c r="F11" s="45">
        <v>2937</v>
      </c>
      <c r="G11" s="45">
        <v>2404</v>
      </c>
    </row>
    <row r="12" spans="1:7" ht="15" customHeight="1" outlineLevel="2" x14ac:dyDescent="0.15">
      <c r="A12" s="30" t="s">
        <v>217</v>
      </c>
      <c r="B12" s="29">
        <v>1541</v>
      </c>
      <c r="C12" s="29">
        <v>14179</v>
      </c>
      <c r="D12" s="29">
        <v>1236</v>
      </c>
      <c r="E12" s="29">
        <v>590</v>
      </c>
      <c r="F12" s="29">
        <v>2917</v>
      </c>
      <c r="G12" s="29">
        <v>2392</v>
      </c>
    </row>
    <row r="13" spans="1:7" ht="15" customHeight="1" outlineLevel="2" x14ac:dyDescent="0.15">
      <c r="A13" s="32" t="s">
        <v>218</v>
      </c>
      <c r="B13" s="31">
        <v>27</v>
      </c>
      <c r="C13" s="31">
        <v>21</v>
      </c>
      <c r="D13" s="31">
        <v>17</v>
      </c>
      <c r="E13" s="31">
        <v>30</v>
      </c>
      <c r="F13" s="31">
        <v>20</v>
      </c>
      <c r="G13" s="31">
        <v>12</v>
      </c>
    </row>
    <row r="14" spans="1:7" ht="15" customHeight="1" outlineLevel="1" x14ac:dyDescent="0.15">
      <c r="A14" s="34" t="s">
        <v>219</v>
      </c>
      <c r="B14" s="33">
        <v>1957</v>
      </c>
      <c r="C14" s="33">
        <v>1760</v>
      </c>
      <c r="D14" s="33">
        <v>2319</v>
      </c>
      <c r="E14" s="33">
        <v>2345</v>
      </c>
      <c r="F14" s="33">
        <v>2398</v>
      </c>
      <c r="G14" s="33">
        <v>2497</v>
      </c>
    </row>
    <row r="15" spans="1:7" ht="15" customHeight="1" outlineLevel="2" x14ac:dyDescent="0.15">
      <c r="A15" s="51" t="s">
        <v>220</v>
      </c>
      <c r="B15" s="45">
        <v>1618</v>
      </c>
      <c r="C15" s="45">
        <v>1744</v>
      </c>
      <c r="D15" s="45">
        <v>2319</v>
      </c>
      <c r="E15" s="45">
        <v>2345</v>
      </c>
      <c r="F15" s="45">
        <v>2398</v>
      </c>
      <c r="G15" s="45">
        <v>2497</v>
      </c>
    </row>
    <row r="16" spans="1:7" ht="15" customHeight="1" outlineLevel="3" x14ac:dyDescent="0.15">
      <c r="A16" s="49" t="s">
        <v>221</v>
      </c>
      <c r="B16" s="29">
        <v>1685</v>
      </c>
      <c r="C16" s="29">
        <v>1793</v>
      </c>
      <c r="D16" s="29">
        <v>2394</v>
      </c>
      <c r="E16" s="29">
        <v>2420</v>
      </c>
      <c r="F16" s="29">
        <v>2478</v>
      </c>
      <c r="G16" s="29">
        <v>2573</v>
      </c>
    </row>
    <row r="17" spans="1:7" ht="15" customHeight="1" outlineLevel="3" x14ac:dyDescent="0.15">
      <c r="A17" s="50" t="s">
        <v>222</v>
      </c>
      <c r="B17" s="47">
        <v>-67</v>
      </c>
      <c r="C17" s="47">
        <v>-49</v>
      </c>
      <c r="D17" s="47">
        <v>-75</v>
      </c>
      <c r="E17" s="47">
        <v>-75</v>
      </c>
      <c r="F17" s="47">
        <v>-80</v>
      </c>
      <c r="G17" s="47">
        <v>-76</v>
      </c>
    </row>
    <row r="18" spans="1:7" ht="15" customHeight="1" outlineLevel="2" x14ac:dyDescent="0.15">
      <c r="A18" s="30" t="s">
        <v>223</v>
      </c>
      <c r="B18" s="29">
        <v>339</v>
      </c>
      <c r="C18" s="29">
        <v>16</v>
      </c>
      <c r="D18" s="29">
        <v>0</v>
      </c>
      <c r="E18" s="29">
        <v>0</v>
      </c>
      <c r="F18" s="29">
        <v>0</v>
      </c>
      <c r="G18" s="29">
        <v>0</v>
      </c>
    </row>
    <row r="19" spans="1:7" ht="15" customHeight="1" outlineLevel="1" x14ac:dyDescent="0.15">
      <c r="A19" s="38" t="s">
        <v>224</v>
      </c>
      <c r="B19" s="45">
        <v>1719</v>
      </c>
      <c r="C19" s="45">
        <v>1818</v>
      </c>
      <c r="D19" s="45">
        <v>2451</v>
      </c>
      <c r="E19" s="45">
        <v>2579</v>
      </c>
      <c r="F19" s="45">
        <v>2743</v>
      </c>
      <c r="G19" s="45">
        <v>2866</v>
      </c>
    </row>
    <row r="20" spans="1:7" ht="15" customHeight="1" outlineLevel="2" x14ac:dyDescent="0.15">
      <c r="A20" s="30" t="s">
        <v>225</v>
      </c>
      <c r="B20" s="29">
        <v>1129</v>
      </c>
      <c r="C20" s="29">
        <v>1234</v>
      </c>
      <c r="D20" s="29">
        <v>1644</v>
      </c>
      <c r="E20" s="29">
        <v>1717</v>
      </c>
      <c r="F20" s="29">
        <v>1806</v>
      </c>
      <c r="G20" s="29">
        <v>1823</v>
      </c>
    </row>
    <row r="21" spans="1:7" ht="15" customHeight="1" outlineLevel="2" x14ac:dyDescent="0.15">
      <c r="A21" s="32" t="s">
        <v>226</v>
      </c>
      <c r="B21" s="31">
        <v>274</v>
      </c>
      <c r="C21" s="31">
        <v>271</v>
      </c>
      <c r="D21" s="31">
        <v>297</v>
      </c>
      <c r="E21" s="31">
        <v>318</v>
      </c>
      <c r="F21" s="31">
        <v>335</v>
      </c>
      <c r="G21" s="31">
        <v>402</v>
      </c>
    </row>
    <row r="22" spans="1:7" ht="15" customHeight="1" outlineLevel="2" x14ac:dyDescent="0.15">
      <c r="A22" s="30" t="s">
        <v>227</v>
      </c>
      <c r="B22" s="29">
        <v>316</v>
      </c>
      <c r="C22" s="29">
        <v>313</v>
      </c>
      <c r="D22" s="29">
        <v>510</v>
      </c>
      <c r="E22" s="29">
        <v>544</v>
      </c>
      <c r="F22" s="29">
        <v>602</v>
      </c>
      <c r="G22" s="29">
        <v>641</v>
      </c>
    </row>
    <row r="23" spans="1:7" ht="15" customHeight="1" outlineLevel="1" x14ac:dyDescent="0.15">
      <c r="A23" s="38" t="s">
        <v>228</v>
      </c>
      <c r="B23" s="45">
        <v>1123</v>
      </c>
      <c r="C23" s="45">
        <v>855</v>
      </c>
      <c r="D23" s="45">
        <v>1388</v>
      </c>
      <c r="E23" s="45">
        <v>1120</v>
      </c>
      <c r="F23" s="45">
        <v>891</v>
      </c>
      <c r="G23" s="45">
        <v>1071</v>
      </c>
    </row>
    <row r="24" spans="1:7" ht="15" customHeight="1" outlineLevel="2" x14ac:dyDescent="0.15">
      <c r="A24" s="30" t="s">
        <v>229</v>
      </c>
      <c r="B24" s="29">
        <v>1123</v>
      </c>
      <c r="C24" s="29">
        <v>855</v>
      </c>
      <c r="D24" s="29">
        <v>1388</v>
      </c>
      <c r="E24" s="29">
        <v>1120</v>
      </c>
      <c r="F24" s="29">
        <v>891</v>
      </c>
      <c r="G24" s="29">
        <v>1071</v>
      </c>
    </row>
    <row r="25" spans="1:7" ht="15" customHeight="1" outlineLevel="1" x14ac:dyDescent="0.15">
      <c r="A25" s="44" t="s">
        <v>230</v>
      </c>
      <c r="B25" s="31">
        <v>6367</v>
      </c>
      <c r="C25" s="31">
        <v>18633</v>
      </c>
      <c r="D25" s="31">
        <v>7411</v>
      </c>
      <c r="E25" s="31">
        <v>6664</v>
      </c>
      <c r="F25" s="31">
        <v>8969</v>
      </c>
      <c r="G25" s="31">
        <v>8838</v>
      </c>
    </row>
    <row r="26" spans="1:7" ht="15" customHeight="1" outlineLevel="1" x14ac:dyDescent="0.15">
      <c r="A26" s="34" t="s">
        <v>231</v>
      </c>
      <c r="B26" s="33">
        <v>3901</v>
      </c>
      <c r="C26" s="33">
        <v>4638</v>
      </c>
      <c r="D26" s="33">
        <v>5375</v>
      </c>
      <c r="E26" s="33">
        <v>5659</v>
      </c>
      <c r="F26" s="33">
        <v>6341</v>
      </c>
      <c r="G26" s="33">
        <v>6839</v>
      </c>
    </row>
    <row r="27" spans="1:7" ht="15" customHeight="1" outlineLevel="2" x14ac:dyDescent="0.15">
      <c r="A27" s="51" t="s">
        <v>232</v>
      </c>
      <c r="B27" s="45">
        <v>8419</v>
      </c>
      <c r="C27" s="45">
        <v>9389</v>
      </c>
      <c r="D27" s="45">
        <v>10485</v>
      </c>
      <c r="E27" s="45">
        <v>11128</v>
      </c>
      <c r="F27" s="45">
        <v>12337</v>
      </c>
      <c r="G27" s="45">
        <v>13388</v>
      </c>
    </row>
    <row r="28" spans="1:7" ht="15" customHeight="1" outlineLevel="3" x14ac:dyDescent="0.15">
      <c r="A28" s="49" t="s">
        <v>233</v>
      </c>
      <c r="B28" s="29">
        <v>2397</v>
      </c>
      <c r="C28" s="29">
        <v>2496</v>
      </c>
      <c r="D28" s="29">
        <v>2724</v>
      </c>
      <c r="E28" s="29">
        <v>2842</v>
      </c>
      <c r="F28" s="29">
        <v>3082</v>
      </c>
      <c r="G28" s="29">
        <v>3264</v>
      </c>
    </row>
    <row r="29" spans="1:7" ht="15" customHeight="1" outlineLevel="3" x14ac:dyDescent="0.15">
      <c r="A29" s="50" t="s">
        <v>234</v>
      </c>
      <c r="B29" s="31">
        <v>151</v>
      </c>
      <c r="C29" s="31">
        <v>146</v>
      </c>
      <c r="D29" s="31">
        <v>173</v>
      </c>
      <c r="E29" s="31">
        <v>164</v>
      </c>
      <c r="F29" s="31">
        <v>166</v>
      </c>
      <c r="G29" s="31">
        <v>137</v>
      </c>
    </row>
    <row r="30" spans="1:7" ht="15" customHeight="1" outlineLevel="3" x14ac:dyDescent="0.15">
      <c r="A30" s="49" t="s">
        <v>235</v>
      </c>
      <c r="B30" s="29">
        <v>5749</v>
      </c>
      <c r="C30" s="29">
        <v>6584</v>
      </c>
      <c r="D30" s="29">
        <v>7405</v>
      </c>
      <c r="E30" s="29">
        <v>7932</v>
      </c>
      <c r="F30" s="29">
        <v>8454</v>
      </c>
      <c r="G30" s="29">
        <v>9301</v>
      </c>
    </row>
    <row r="31" spans="1:7" ht="15" customHeight="1" outlineLevel="3" x14ac:dyDescent="0.15">
      <c r="A31" s="50" t="s">
        <v>236</v>
      </c>
      <c r="B31" s="31">
        <v>122</v>
      </c>
      <c r="C31" s="31">
        <v>163</v>
      </c>
      <c r="D31" s="31">
        <v>183</v>
      </c>
      <c r="E31" s="31">
        <v>190</v>
      </c>
      <c r="F31" s="31">
        <v>217</v>
      </c>
      <c r="G31" s="31">
        <v>240</v>
      </c>
    </row>
    <row r="32" spans="1:7" ht="15" customHeight="1" outlineLevel="3" x14ac:dyDescent="0.15">
      <c r="A32" s="49" t="s">
        <v>237</v>
      </c>
      <c r="B32" s="40"/>
      <c r="C32" s="40"/>
      <c r="D32" s="40"/>
      <c r="E32" s="40"/>
      <c r="F32" s="29">
        <v>418</v>
      </c>
      <c r="G32" s="29">
        <v>446</v>
      </c>
    </row>
    <row r="33" spans="1:7" ht="15" customHeight="1" outlineLevel="2" x14ac:dyDescent="0.15">
      <c r="A33" s="32" t="s">
        <v>238</v>
      </c>
      <c r="B33" s="31">
        <v>4518</v>
      </c>
      <c r="C33" s="31">
        <v>4751</v>
      </c>
      <c r="D33" s="31">
        <v>5110</v>
      </c>
      <c r="E33" s="31">
        <v>5469</v>
      </c>
      <c r="F33" s="31">
        <v>5996</v>
      </c>
      <c r="G33" s="31">
        <v>6549</v>
      </c>
    </row>
    <row r="34" spans="1:7" ht="15" customHeight="1" outlineLevel="1" x14ac:dyDescent="0.15">
      <c r="A34" s="34" t="s">
        <v>239</v>
      </c>
      <c r="B34" s="33">
        <v>796</v>
      </c>
      <c r="C34" s="33">
        <v>38</v>
      </c>
      <c r="D34" s="33">
        <v>0</v>
      </c>
      <c r="E34" s="33">
        <v>0</v>
      </c>
      <c r="F34" s="33">
        <v>0</v>
      </c>
      <c r="G34" s="33">
        <v>0</v>
      </c>
    </row>
    <row r="35" spans="1:7" ht="15" customHeight="1" outlineLevel="2" x14ac:dyDescent="0.15">
      <c r="A35" s="32" t="s">
        <v>240</v>
      </c>
      <c r="B35" s="31">
        <v>796</v>
      </c>
      <c r="C35" s="31">
        <v>38</v>
      </c>
      <c r="D35" s="48"/>
      <c r="E35" s="48"/>
      <c r="F35" s="48"/>
      <c r="G35" s="48"/>
    </row>
    <row r="36" spans="1:7" ht="15" customHeight="1" outlineLevel="1" x14ac:dyDescent="0.15">
      <c r="A36" s="34" t="s">
        <v>241</v>
      </c>
      <c r="B36" s="33">
        <v>13770</v>
      </c>
      <c r="C36" s="33">
        <v>13456</v>
      </c>
      <c r="D36" s="33">
        <v>40041</v>
      </c>
      <c r="E36" s="33">
        <v>38354</v>
      </c>
      <c r="F36" s="33">
        <v>37433</v>
      </c>
      <c r="G36" s="33">
        <v>36684</v>
      </c>
    </row>
    <row r="37" spans="1:7" ht="15" customHeight="1" outlineLevel="2" x14ac:dyDescent="0.15">
      <c r="A37" s="32" t="s">
        <v>242</v>
      </c>
      <c r="B37" s="31">
        <v>7419</v>
      </c>
      <c r="C37" s="31">
        <v>7563</v>
      </c>
      <c r="D37" s="31">
        <v>23600</v>
      </c>
      <c r="E37" s="31">
        <v>23376</v>
      </c>
      <c r="F37" s="31">
        <v>23620</v>
      </c>
      <c r="G37" s="31">
        <v>23901</v>
      </c>
    </row>
    <row r="38" spans="1:7" ht="15" customHeight="1" outlineLevel="2" x14ac:dyDescent="0.15">
      <c r="A38" s="30" t="s">
        <v>243</v>
      </c>
      <c r="B38" s="29">
        <v>6351</v>
      </c>
      <c r="C38" s="29">
        <v>5893</v>
      </c>
      <c r="D38" s="29">
        <v>16441</v>
      </c>
      <c r="E38" s="29">
        <v>14978</v>
      </c>
      <c r="F38" s="29">
        <v>13813</v>
      </c>
      <c r="G38" s="29">
        <v>12783</v>
      </c>
    </row>
    <row r="39" spans="1:7" ht="15" customHeight="1" outlineLevel="1" x14ac:dyDescent="0.15">
      <c r="A39" s="44" t="s">
        <v>244</v>
      </c>
      <c r="B39" s="48"/>
      <c r="C39" s="48"/>
      <c r="D39" s="48"/>
      <c r="E39" s="48"/>
      <c r="F39" s="48"/>
      <c r="G39" s="31">
        <v>1343</v>
      </c>
    </row>
    <row r="40" spans="1:7" ht="15" customHeight="1" outlineLevel="1" x14ac:dyDescent="0.15">
      <c r="A40" s="34" t="s">
        <v>245</v>
      </c>
      <c r="B40" s="33">
        <v>752</v>
      </c>
      <c r="C40" s="33">
        <v>969</v>
      </c>
      <c r="D40" s="33">
        <v>1077</v>
      </c>
      <c r="E40" s="33">
        <v>1088</v>
      </c>
      <c r="F40" s="33">
        <v>1269</v>
      </c>
      <c r="G40" s="33">
        <v>162</v>
      </c>
    </row>
    <row r="41" spans="1:7" ht="15" customHeight="1" outlineLevel="2" x14ac:dyDescent="0.15">
      <c r="A41" s="32" t="s">
        <v>246</v>
      </c>
      <c r="B41" s="31">
        <v>752</v>
      </c>
      <c r="C41" s="31">
        <v>969</v>
      </c>
      <c r="D41" s="31">
        <v>1077</v>
      </c>
      <c r="E41" s="31">
        <v>1088</v>
      </c>
      <c r="F41" s="31">
        <v>1269</v>
      </c>
      <c r="G41" s="31">
        <v>162</v>
      </c>
    </row>
    <row r="42" spans="1:7" ht="15" customHeight="1" outlineLevel="1" x14ac:dyDescent="0.15">
      <c r="A42" s="41" t="s">
        <v>247</v>
      </c>
      <c r="B42" s="29">
        <v>25586</v>
      </c>
      <c r="C42" s="29">
        <v>37734</v>
      </c>
      <c r="D42" s="29">
        <v>53904</v>
      </c>
      <c r="E42" s="29">
        <v>51765</v>
      </c>
      <c r="F42" s="29">
        <v>54012</v>
      </c>
      <c r="G42" s="29">
        <v>53866</v>
      </c>
    </row>
    <row r="43" spans="1:7" ht="15" customHeight="1" x14ac:dyDescent="0.15">
      <c r="A43" s="35" t="s">
        <v>248</v>
      </c>
      <c r="B43" s="35"/>
      <c r="C43" s="35"/>
      <c r="D43" s="35"/>
      <c r="E43" s="35"/>
      <c r="F43" s="35"/>
      <c r="G43" s="35"/>
    </row>
    <row r="44" spans="1:7" ht="15" customHeight="1" outlineLevel="1" x14ac:dyDescent="0.15">
      <c r="A44" s="34" t="s">
        <v>249</v>
      </c>
      <c r="B44" s="57"/>
      <c r="C44" s="57"/>
      <c r="D44" s="57"/>
      <c r="E44" s="57"/>
      <c r="F44" s="57"/>
      <c r="G44" s="57"/>
    </row>
    <row r="45" spans="1:7" ht="15" customHeight="1" outlineLevel="2" x14ac:dyDescent="0.15">
      <c r="A45" s="32" t="s">
        <v>250</v>
      </c>
      <c r="B45" s="31">
        <v>1001</v>
      </c>
      <c r="C45" s="31">
        <v>203</v>
      </c>
      <c r="D45" s="31">
        <v>2601</v>
      </c>
      <c r="E45" s="31">
        <v>1309</v>
      </c>
      <c r="F45" s="31">
        <v>813</v>
      </c>
      <c r="G45" s="31">
        <v>626</v>
      </c>
    </row>
    <row r="46" spans="1:7" ht="15" customHeight="1" outlineLevel="2" x14ac:dyDescent="0.15">
      <c r="A46" s="30" t="s">
        <v>251</v>
      </c>
      <c r="B46" s="29">
        <v>665</v>
      </c>
      <c r="C46" s="29">
        <v>797</v>
      </c>
      <c r="D46" s="29">
        <v>1106</v>
      </c>
      <c r="E46" s="29">
        <v>1092</v>
      </c>
      <c r="F46" s="29">
        <v>1355</v>
      </c>
      <c r="G46" s="29">
        <v>1793</v>
      </c>
    </row>
    <row r="47" spans="1:7" ht="15" customHeight="1" outlineLevel="2" x14ac:dyDescent="0.15">
      <c r="A47" s="32" t="s">
        <v>252</v>
      </c>
      <c r="B47" s="31">
        <v>274</v>
      </c>
      <c r="C47" s="31">
        <v>176</v>
      </c>
      <c r="D47" s="31">
        <v>343</v>
      </c>
      <c r="E47" s="31">
        <v>140</v>
      </c>
      <c r="F47" s="31">
        <v>144</v>
      </c>
      <c r="G47" s="31">
        <v>176</v>
      </c>
    </row>
    <row r="48" spans="1:7" ht="15" customHeight="1" outlineLevel="2" x14ac:dyDescent="0.15">
      <c r="A48" s="52" t="s">
        <v>253</v>
      </c>
      <c r="B48" s="33">
        <v>2460</v>
      </c>
      <c r="C48" s="33">
        <v>2166</v>
      </c>
      <c r="D48" s="33">
        <v>3166</v>
      </c>
      <c r="E48" s="33">
        <v>3114</v>
      </c>
      <c r="F48" s="33">
        <v>3524</v>
      </c>
      <c r="G48" s="33">
        <v>4031</v>
      </c>
    </row>
    <row r="49" spans="1:7" ht="15" customHeight="1" outlineLevel="3" x14ac:dyDescent="0.15">
      <c r="A49" s="50" t="s">
        <v>254</v>
      </c>
      <c r="B49" s="31">
        <v>696</v>
      </c>
      <c r="C49" s="31">
        <v>773</v>
      </c>
      <c r="D49" s="31">
        <v>910</v>
      </c>
      <c r="E49" s="31">
        <v>987</v>
      </c>
      <c r="F49" s="31">
        <v>993</v>
      </c>
      <c r="G49" s="31">
        <v>1214</v>
      </c>
    </row>
    <row r="50" spans="1:7" ht="15" customHeight="1" outlineLevel="3" x14ac:dyDescent="0.15">
      <c r="A50" s="49" t="s">
        <v>255</v>
      </c>
      <c r="B50" s="29">
        <v>1764</v>
      </c>
      <c r="C50" s="29">
        <v>1393</v>
      </c>
      <c r="D50" s="29">
        <v>2256</v>
      </c>
      <c r="E50" s="29">
        <v>2127</v>
      </c>
      <c r="F50" s="29">
        <v>2531</v>
      </c>
      <c r="G50" s="29">
        <v>2817</v>
      </c>
    </row>
    <row r="51" spans="1:7" ht="15" customHeight="1" outlineLevel="2" x14ac:dyDescent="0.15">
      <c r="A51" s="32" t="s">
        <v>256</v>
      </c>
      <c r="B51" s="31">
        <v>4400</v>
      </c>
      <c r="C51" s="31">
        <v>3342</v>
      </c>
      <c r="D51" s="31">
        <v>7216</v>
      </c>
      <c r="E51" s="31">
        <v>5655</v>
      </c>
      <c r="F51" s="31">
        <v>5836</v>
      </c>
      <c r="G51" s="31">
        <v>6626</v>
      </c>
    </row>
    <row r="52" spans="1:7" ht="15" customHeight="1" outlineLevel="1" x14ac:dyDescent="0.15">
      <c r="A52" s="34" t="s">
        <v>257</v>
      </c>
      <c r="B52" s="57"/>
      <c r="C52" s="57"/>
      <c r="D52" s="57"/>
      <c r="E52" s="57"/>
      <c r="F52" s="57"/>
      <c r="G52" s="57"/>
    </row>
    <row r="53" spans="1:7" ht="15" customHeight="1" outlineLevel="2" x14ac:dyDescent="0.15">
      <c r="A53" s="51" t="s">
        <v>258</v>
      </c>
      <c r="B53" s="45">
        <v>10550</v>
      </c>
      <c r="C53" s="45">
        <v>18667</v>
      </c>
      <c r="D53" s="45">
        <v>18894</v>
      </c>
      <c r="E53" s="45">
        <v>18081</v>
      </c>
      <c r="F53" s="45">
        <v>17560</v>
      </c>
      <c r="G53" s="45">
        <v>17454</v>
      </c>
    </row>
    <row r="54" spans="1:7" ht="15" customHeight="1" outlineLevel="3" x14ac:dyDescent="0.15">
      <c r="A54" s="49" t="s">
        <v>259</v>
      </c>
      <c r="B54" s="29">
        <v>10550</v>
      </c>
      <c r="C54" s="29">
        <v>18667</v>
      </c>
      <c r="D54" s="29">
        <v>18894</v>
      </c>
      <c r="E54" s="29">
        <v>18081</v>
      </c>
      <c r="F54" s="29">
        <v>17224</v>
      </c>
      <c r="G54" s="29">
        <v>17110</v>
      </c>
    </row>
    <row r="55" spans="1:7" ht="15" customHeight="1" outlineLevel="3" x14ac:dyDescent="0.15">
      <c r="A55" s="50" t="s">
        <v>260</v>
      </c>
      <c r="B55" s="31">
        <v>0</v>
      </c>
      <c r="C55" s="31">
        <v>0</v>
      </c>
      <c r="D55" s="31">
        <v>0</v>
      </c>
      <c r="E55" s="31">
        <v>0</v>
      </c>
      <c r="F55" s="31">
        <v>336</v>
      </c>
      <c r="G55" s="31">
        <v>344</v>
      </c>
    </row>
    <row r="56" spans="1:7" ht="15" customHeight="1" outlineLevel="2" x14ac:dyDescent="0.15">
      <c r="A56" s="30" t="s">
        <v>261</v>
      </c>
      <c r="B56" s="29">
        <v>1319</v>
      </c>
      <c r="C56" s="29">
        <v>1168</v>
      </c>
      <c r="D56" s="29">
        <v>1056</v>
      </c>
      <c r="E56" s="29">
        <v>1272</v>
      </c>
      <c r="F56" s="29">
        <v>1435</v>
      </c>
      <c r="G56" s="29">
        <v>1228</v>
      </c>
    </row>
    <row r="57" spans="1:7" ht="15" customHeight="1" outlineLevel="2" x14ac:dyDescent="0.15">
      <c r="A57" s="32" t="s">
        <v>262</v>
      </c>
      <c r="B57" s="48"/>
      <c r="C57" s="48"/>
      <c r="D57" s="48"/>
      <c r="E57" s="48"/>
      <c r="F57" s="48"/>
      <c r="G57" s="31">
        <v>2693</v>
      </c>
    </row>
    <row r="58" spans="1:7" ht="15" customHeight="1" outlineLevel="2" x14ac:dyDescent="0.15">
      <c r="A58" s="52" t="s">
        <v>263</v>
      </c>
      <c r="B58" s="33">
        <v>1684</v>
      </c>
      <c r="C58" s="33">
        <v>1609</v>
      </c>
      <c r="D58" s="33">
        <v>5744</v>
      </c>
      <c r="E58" s="33">
        <v>5676</v>
      </c>
      <c r="F58" s="33">
        <v>5416</v>
      </c>
      <c r="G58" s="33">
        <v>2188</v>
      </c>
    </row>
    <row r="59" spans="1:7" ht="15" customHeight="1" outlineLevel="3" x14ac:dyDescent="0.15">
      <c r="A59" s="50" t="s">
        <v>264</v>
      </c>
      <c r="B59" s="31">
        <v>1684</v>
      </c>
      <c r="C59" s="31">
        <v>1609</v>
      </c>
      <c r="D59" s="31">
        <v>5744</v>
      </c>
      <c r="E59" s="31">
        <v>5676</v>
      </c>
      <c r="F59" s="31">
        <v>5416</v>
      </c>
      <c r="G59" s="31">
        <v>2188</v>
      </c>
    </row>
    <row r="60" spans="1:7" ht="15" customHeight="1" outlineLevel="2" x14ac:dyDescent="0.15">
      <c r="A60" s="30" t="s">
        <v>265</v>
      </c>
      <c r="B60" s="29">
        <v>17953</v>
      </c>
      <c r="C60" s="29">
        <v>24786</v>
      </c>
      <c r="D60" s="29">
        <v>32910</v>
      </c>
      <c r="E60" s="29">
        <v>30684</v>
      </c>
      <c r="F60" s="29">
        <v>30247</v>
      </c>
      <c r="G60" s="29">
        <v>30189</v>
      </c>
    </row>
    <row r="61" spans="1:7" ht="15" customHeight="1" outlineLevel="1" x14ac:dyDescent="0.15">
      <c r="A61" s="38" t="s">
        <v>266</v>
      </c>
      <c r="B61" s="35"/>
      <c r="C61" s="35"/>
      <c r="D61" s="35"/>
      <c r="E61" s="35"/>
      <c r="F61" s="35"/>
      <c r="G61" s="35"/>
    </row>
    <row r="62" spans="1:7" ht="15" customHeight="1" outlineLevel="2" x14ac:dyDescent="0.15">
      <c r="A62" s="52" t="s">
        <v>267</v>
      </c>
      <c r="B62" s="33">
        <v>0</v>
      </c>
      <c r="C62" s="33">
        <v>2</v>
      </c>
      <c r="D62" s="33">
        <v>2</v>
      </c>
      <c r="E62" s="33">
        <v>2</v>
      </c>
      <c r="F62" s="33">
        <v>2</v>
      </c>
      <c r="G62" s="33">
        <v>2</v>
      </c>
    </row>
    <row r="63" spans="1:7" ht="15" customHeight="1" outlineLevel="3" x14ac:dyDescent="0.15">
      <c r="A63" s="50" t="s">
        <v>268</v>
      </c>
      <c r="B63" s="31">
        <v>0</v>
      </c>
      <c r="C63" s="31">
        <v>2</v>
      </c>
      <c r="D63" s="31">
        <v>2</v>
      </c>
      <c r="E63" s="31">
        <v>2</v>
      </c>
      <c r="F63" s="31">
        <v>2</v>
      </c>
      <c r="G63" s="31">
        <v>2</v>
      </c>
    </row>
    <row r="64" spans="1:7" ht="15" customHeight="1" outlineLevel="2" x14ac:dyDescent="0.15">
      <c r="A64" s="52" t="s">
        <v>269</v>
      </c>
      <c r="B64" s="33">
        <v>7633</v>
      </c>
      <c r="C64" s="33">
        <v>12946</v>
      </c>
      <c r="D64" s="33">
        <v>20992</v>
      </c>
      <c r="E64" s="33">
        <v>21079</v>
      </c>
      <c r="F64" s="33">
        <v>23763</v>
      </c>
      <c r="G64" s="33">
        <v>23675</v>
      </c>
    </row>
    <row r="65" spans="1:7" ht="15" customHeight="1" outlineLevel="3" x14ac:dyDescent="0.15">
      <c r="A65" s="50" t="s">
        <v>270</v>
      </c>
      <c r="B65" s="31">
        <v>333</v>
      </c>
      <c r="C65" s="31">
        <v>347</v>
      </c>
      <c r="D65" s="31">
        <v>347</v>
      </c>
      <c r="E65" s="31">
        <v>347</v>
      </c>
      <c r="F65" s="31">
        <v>365</v>
      </c>
      <c r="G65" s="31">
        <v>365</v>
      </c>
    </row>
    <row r="66" spans="1:7" ht="15" customHeight="1" outlineLevel="3" x14ac:dyDescent="0.15">
      <c r="A66" s="49" t="s">
        <v>271</v>
      </c>
      <c r="B66" s="29">
        <v>4693</v>
      </c>
      <c r="C66" s="29">
        <v>9619</v>
      </c>
      <c r="D66" s="29">
        <v>16179</v>
      </c>
      <c r="E66" s="29">
        <v>16270</v>
      </c>
      <c r="F66" s="29">
        <v>19270</v>
      </c>
      <c r="G66" s="29">
        <v>19272</v>
      </c>
    </row>
    <row r="67" spans="1:7" ht="15" customHeight="1" outlineLevel="3" x14ac:dyDescent="0.15">
      <c r="A67" s="50" t="s">
        <v>272</v>
      </c>
      <c r="B67" s="31">
        <v>12727</v>
      </c>
      <c r="C67" s="31">
        <v>13109</v>
      </c>
      <c r="D67" s="31">
        <v>12594</v>
      </c>
      <c r="E67" s="31">
        <v>12912</v>
      </c>
      <c r="F67" s="31">
        <v>12791</v>
      </c>
      <c r="G67" s="31">
        <v>13826</v>
      </c>
    </row>
    <row r="68" spans="1:7" ht="15" customHeight="1" outlineLevel="3" x14ac:dyDescent="0.15">
      <c r="A68" s="49" t="s">
        <v>273</v>
      </c>
      <c r="B68" s="46">
        <v>-1011</v>
      </c>
      <c r="C68" s="46">
        <v>-1001</v>
      </c>
      <c r="D68" s="46">
        <v>-1162</v>
      </c>
      <c r="E68" s="46">
        <v>-1256</v>
      </c>
      <c r="F68" s="46">
        <v>-1416</v>
      </c>
      <c r="G68" s="46">
        <v>-1294</v>
      </c>
    </row>
    <row r="69" spans="1:7" ht="15" customHeight="1" outlineLevel="3" x14ac:dyDescent="0.15">
      <c r="A69" s="50" t="s">
        <v>274</v>
      </c>
      <c r="B69" s="31">
        <v>0</v>
      </c>
      <c r="C69" s="31">
        <v>0</v>
      </c>
      <c r="D69" s="31">
        <v>0</v>
      </c>
      <c r="E69" s="31">
        <v>0</v>
      </c>
      <c r="F69" s="31">
        <v>0</v>
      </c>
      <c r="G69" s="31">
        <v>0</v>
      </c>
    </row>
    <row r="70" spans="1:7" ht="15" customHeight="1" outlineLevel="3" x14ac:dyDescent="0.15">
      <c r="A70" s="49" t="s">
        <v>275</v>
      </c>
      <c r="B70" s="46">
        <v>-897</v>
      </c>
      <c r="C70" s="46">
        <v>-701</v>
      </c>
      <c r="D70" s="46">
        <v>-723</v>
      </c>
      <c r="E70" s="46">
        <v>-1004</v>
      </c>
      <c r="F70" s="46">
        <v>-1109</v>
      </c>
      <c r="G70" s="46">
        <v>-771</v>
      </c>
    </row>
    <row r="71" spans="1:7" ht="15" customHeight="1" outlineLevel="3" x14ac:dyDescent="0.15">
      <c r="A71" s="50" t="s">
        <v>276</v>
      </c>
      <c r="B71" s="47">
        <v>-8212</v>
      </c>
      <c r="C71" s="47">
        <v>-8427</v>
      </c>
      <c r="D71" s="47">
        <v>-6243</v>
      </c>
      <c r="E71" s="47">
        <v>-6190</v>
      </c>
      <c r="F71" s="47">
        <v>-6138</v>
      </c>
      <c r="G71" s="47">
        <v>-7723</v>
      </c>
    </row>
    <row r="72" spans="1:7" ht="15" customHeight="1" outlineLevel="2" x14ac:dyDescent="0.15">
      <c r="A72" s="30" t="s">
        <v>277</v>
      </c>
      <c r="B72" s="29">
        <v>7633</v>
      </c>
      <c r="C72" s="29">
        <v>12948</v>
      </c>
      <c r="D72" s="29">
        <v>20994</v>
      </c>
      <c r="E72" s="29">
        <v>21081</v>
      </c>
      <c r="F72" s="29">
        <v>23765</v>
      </c>
      <c r="G72" s="29">
        <v>23677</v>
      </c>
    </row>
    <row r="73" spans="1:7" ht="15" customHeight="1" outlineLevel="2" x14ac:dyDescent="0.15">
      <c r="A73" s="32" t="s">
        <v>278</v>
      </c>
      <c r="B73" s="31">
        <v>7633</v>
      </c>
      <c r="C73" s="31">
        <v>12948</v>
      </c>
      <c r="D73" s="31">
        <v>20994</v>
      </c>
      <c r="E73" s="31">
        <v>21081</v>
      </c>
      <c r="F73" s="31">
        <v>23765</v>
      </c>
      <c r="G73" s="31">
        <v>23677</v>
      </c>
    </row>
    <row r="74" spans="1:7" ht="15" customHeight="1" outlineLevel="1" x14ac:dyDescent="0.15">
      <c r="A74" s="41" t="s">
        <v>279</v>
      </c>
      <c r="B74" s="29">
        <v>25586</v>
      </c>
      <c r="C74" s="29">
        <v>37734</v>
      </c>
      <c r="D74" s="29">
        <v>53904</v>
      </c>
      <c r="E74" s="29">
        <v>51765</v>
      </c>
      <c r="F74" s="29">
        <v>54012</v>
      </c>
      <c r="G74" s="29">
        <v>53866</v>
      </c>
    </row>
    <row r="75" spans="1:7" ht="15" customHeight="1" x14ac:dyDescent="0.15">
      <c r="A75" s="35" t="s">
        <v>204</v>
      </c>
      <c r="B75" s="35"/>
      <c r="C75" s="35"/>
      <c r="D75" s="35"/>
      <c r="E75" s="35"/>
      <c r="F75" s="35"/>
      <c r="G75" s="35"/>
    </row>
    <row r="76" spans="1:7" ht="15" customHeight="1" outlineLevel="1" x14ac:dyDescent="0.15">
      <c r="A76" s="41" t="s">
        <v>280</v>
      </c>
      <c r="B76" s="39">
        <v>35.786749999999998</v>
      </c>
      <c r="C76" s="39">
        <v>56.795050000000003</v>
      </c>
      <c r="D76" s="39">
        <v>78.262889999999999</v>
      </c>
      <c r="E76" s="39">
        <v>77.947000000000003</v>
      </c>
      <c r="F76" s="39">
        <v>81.936509999999998</v>
      </c>
      <c r="G76" s="39">
        <v>83.223200000000006</v>
      </c>
    </row>
    <row r="77" spans="1:7" ht="15" customHeight="1" outlineLevel="1" x14ac:dyDescent="0.15">
      <c r="A77" s="44" t="s">
        <v>281</v>
      </c>
      <c r="B77" s="58">
        <v>-28.772867000000002</v>
      </c>
      <c r="C77" s="58">
        <v>-2.2374070000000001</v>
      </c>
      <c r="D77" s="58">
        <v>-71.018949000000006</v>
      </c>
      <c r="E77" s="58">
        <v>-63.880378999999998</v>
      </c>
      <c r="F77" s="58">
        <v>-47.135128000000002</v>
      </c>
      <c r="G77" s="58">
        <v>-45.729700000000001</v>
      </c>
    </row>
    <row r="78" spans="1:7" ht="15" customHeight="1" x14ac:dyDescent="0.15">
      <c r="A78" s="28" t="s">
        <v>214</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72C0-88FB-4F45-BA56-93574F260A41}">
  <sheetPr codeName="Sheet10">
    <outlinePr summaryBelow="0" summaryRight="0"/>
  </sheetPr>
  <dimension ref="A1:G62"/>
  <sheetViews>
    <sheetView showGridLines="0" zoomScale="117" workbookViewId="0">
      <selection activeCell="D26" sqref="D26"/>
    </sheetView>
  </sheetViews>
  <sheetFormatPr baseColWidth="10" defaultColWidth="9" defaultRowHeight="15" customHeight="1" outlineLevelRow="3" x14ac:dyDescent="0.15"/>
  <cols>
    <col min="1" max="1" width="49" style="27" customWidth="1"/>
    <col min="2" max="2" width="8" style="27" customWidth="1"/>
    <col min="3" max="3" width="8.5" style="27" customWidth="1"/>
    <col min="4" max="4" width="9" style="27" customWidth="1"/>
    <col min="5" max="7" width="8" style="27" customWidth="1"/>
    <col min="8" max="16384" width="9" style="27"/>
  </cols>
  <sheetData>
    <row r="1" spans="1:7" ht="15" customHeight="1" x14ac:dyDescent="0.15">
      <c r="A1" s="56" t="s">
        <v>150</v>
      </c>
    </row>
    <row r="2" spans="1:7" ht="15" customHeight="1" x14ac:dyDescent="0.15">
      <c r="A2" s="55" t="s">
        <v>151</v>
      </c>
    </row>
    <row r="3" spans="1:7" ht="15" customHeight="1" x14ac:dyDescent="0.15">
      <c r="A3" s="54"/>
      <c r="B3" s="54"/>
      <c r="C3" s="54"/>
      <c r="D3" s="54"/>
      <c r="E3" s="54"/>
      <c r="F3" s="54"/>
      <c r="G3" s="54"/>
    </row>
    <row r="5" spans="1:7" ht="15" customHeight="1" x14ac:dyDescent="0.15">
      <c r="A5" s="53" t="s">
        <v>152</v>
      </c>
      <c r="B5" s="53"/>
      <c r="C5" s="53"/>
      <c r="D5" s="53"/>
      <c r="E5" s="53"/>
      <c r="F5" s="53"/>
      <c r="G5" s="53"/>
    </row>
    <row r="6" spans="1:7" ht="15" customHeight="1" x14ac:dyDescent="0.15">
      <c r="A6" s="53" t="s">
        <v>153</v>
      </c>
      <c r="B6" s="53"/>
      <c r="C6" s="53"/>
      <c r="D6" s="53"/>
      <c r="E6" s="53"/>
      <c r="F6" s="53"/>
      <c r="G6" s="53"/>
    </row>
    <row r="7" spans="1:7" ht="15" customHeight="1" x14ac:dyDescent="0.15">
      <c r="A7" s="53" t="s">
        <v>154</v>
      </c>
      <c r="B7" s="53"/>
      <c r="C7" s="53"/>
      <c r="D7" s="53"/>
      <c r="E7" s="53"/>
      <c r="F7" s="53"/>
      <c r="G7" s="53"/>
    </row>
    <row r="8" spans="1:7" ht="15" customHeight="1" x14ac:dyDescent="0.15">
      <c r="A8" s="53"/>
      <c r="B8" s="53" t="s">
        <v>155</v>
      </c>
      <c r="C8" s="53" t="s">
        <v>156</v>
      </c>
      <c r="D8" s="53" t="s">
        <v>157</v>
      </c>
      <c r="E8" s="53" t="s">
        <v>158</v>
      </c>
      <c r="F8" s="53" t="s">
        <v>159</v>
      </c>
      <c r="G8" s="53" t="s">
        <v>160</v>
      </c>
    </row>
    <row r="9" spans="1:7" ht="15" customHeight="1" x14ac:dyDescent="0.15">
      <c r="A9" s="53"/>
      <c r="B9" s="53"/>
      <c r="C9" s="53"/>
      <c r="D9" s="53"/>
      <c r="E9" s="53"/>
      <c r="F9" s="53"/>
      <c r="G9" s="53"/>
    </row>
    <row r="10" spans="1:7" ht="15" customHeight="1" x14ac:dyDescent="0.15">
      <c r="A10" s="53"/>
      <c r="B10" s="53"/>
      <c r="C10" s="53"/>
      <c r="D10" s="53" t="s">
        <v>161</v>
      </c>
      <c r="E10" s="53"/>
      <c r="F10" s="53"/>
      <c r="G10" s="53"/>
    </row>
    <row r="11" spans="1:7" ht="15" customHeight="1" x14ac:dyDescent="0.15">
      <c r="A11" s="35" t="s">
        <v>282</v>
      </c>
      <c r="B11" s="35"/>
      <c r="C11" s="35"/>
      <c r="D11" s="35"/>
      <c r="E11" s="35"/>
      <c r="F11" s="35"/>
      <c r="G11" s="35"/>
    </row>
    <row r="12" spans="1:7" ht="15" customHeight="1" outlineLevel="1" x14ac:dyDescent="0.15">
      <c r="A12" s="41" t="s">
        <v>283</v>
      </c>
      <c r="B12" s="36">
        <v>976</v>
      </c>
      <c r="C12" s="36">
        <v>1100</v>
      </c>
      <c r="D12" s="36">
        <v>311</v>
      </c>
      <c r="E12" s="36">
        <v>1233</v>
      </c>
      <c r="F12" s="36">
        <v>874</v>
      </c>
      <c r="G12" s="36">
        <v>2092</v>
      </c>
    </row>
    <row r="13" spans="1:7" ht="15" customHeight="1" outlineLevel="1" x14ac:dyDescent="0.15">
      <c r="A13" s="38" t="s">
        <v>284</v>
      </c>
      <c r="B13" s="60">
        <v>1114</v>
      </c>
      <c r="C13" s="60">
        <v>1088</v>
      </c>
      <c r="D13" s="60">
        <v>1978</v>
      </c>
      <c r="E13" s="60">
        <v>2253</v>
      </c>
      <c r="F13" s="60">
        <v>2154</v>
      </c>
      <c r="G13" s="60">
        <v>2273</v>
      </c>
    </row>
    <row r="14" spans="1:7" ht="15" customHeight="1" outlineLevel="2" x14ac:dyDescent="0.15">
      <c r="A14" s="30" t="s">
        <v>285</v>
      </c>
      <c r="B14" s="36">
        <v>516</v>
      </c>
      <c r="C14" s="36">
        <v>523</v>
      </c>
      <c r="D14" s="36">
        <v>681</v>
      </c>
      <c r="E14" s="36">
        <v>712</v>
      </c>
      <c r="F14" s="36">
        <v>727</v>
      </c>
      <c r="G14" s="40"/>
    </row>
    <row r="15" spans="1:7" ht="15" customHeight="1" outlineLevel="2" x14ac:dyDescent="0.15">
      <c r="A15" s="32" t="s">
        <v>286</v>
      </c>
      <c r="B15" s="59">
        <v>598</v>
      </c>
      <c r="C15" s="59">
        <v>565</v>
      </c>
      <c r="D15" s="59">
        <v>1297</v>
      </c>
      <c r="E15" s="59">
        <v>1541</v>
      </c>
      <c r="F15" s="59">
        <v>1427</v>
      </c>
      <c r="G15" s="48"/>
    </row>
    <row r="16" spans="1:7" ht="15" customHeight="1" outlineLevel="1" x14ac:dyDescent="0.15">
      <c r="A16" s="34" t="s">
        <v>287</v>
      </c>
      <c r="B16" s="63">
        <v>-426</v>
      </c>
      <c r="C16" s="63">
        <v>-236</v>
      </c>
      <c r="D16" s="63">
        <v>-240</v>
      </c>
      <c r="E16" s="63">
        <v>-381</v>
      </c>
      <c r="F16" s="63">
        <v>-302</v>
      </c>
      <c r="G16" s="63">
        <v>-304</v>
      </c>
    </row>
    <row r="17" spans="1:7" ht="15" customHeight="1" outlineLevel="2" x14ac:dyDescent="0.15">
      <c r="A17" s="32" t="s">
        <v>288</v>
      </c>
      <c r="B17" s="62">
        <v>-426</v>
      </c>
      <c r="C17" s="62">
        <v>-236</v>
      </c>
      <c r="D17" s="62">
        <v>-240</v>
      </c>
      <c r="E17" s="62">
        <v>-381</v>
      </c>
      <c r="F17" s="62">
        <v>-302</v>
      </c>
      <c r="G17" s="62">
        <v>-304</v>
      </c>
    </row>
    <row r="18" spans="1:7" ht="15" customHeight="1" outlineLevel="1" x14ac:dyDescent="0.15">
      <c r="A18" s="41" t="s">
        <v>289</v>
      </c>
      <c r="B18" s="36">
        <v>496</v>
      </c>
      <c r="C18" s="36">
        <v>969</v>
      </c>
      <c r="D18" s="61">
        <v>-81</v>
      </c>
      <c r="E18" s="36">
        <v>594</v>
      </c>
      <c r="F18" s="36">
        <v>700</v>
      </c>
      <c r="G18" s="36">
        <v>252</v>
      </c>
    </row>
    <row r="19" spans="1:7" ht="15" customHeight="1" outlineLevel="1" x14ac:dyDescent="0.15">
      <c r="A19" s="44" t="s">
        <v>290</v>
      </c>
      <c r="B19" s="59">
        <v>2160</v>
      </c>
      <c r="C19" s="59">
        <v>2921</v>
      </c>
      <c r="D19" s="59">
        <v>1968</v>
      </c>
      <c r="E19" s="59">
        <v>3699</v>
      </c>
      <c r="F19" s="59">
        <v>3426</v>
      </c>
      <c r="G19" s="59">
        <v>4313</v>
      </c>
    </row>
    <row r="20" spans="1:7" ht="15" customHeight="1" outlineLevel="1" x14ac:dyDescent="0.15">
      <c r="A20" s="34" t="s">
        <v>291</v>
      </c>
      <c r="B20" s="63">
        <v>399</v>
      </c>
      <c r="C20" s="63">
        <v>-371</v>
      </c>
      <c r="D20" s="63">
        <v>897</v>
      </c>
      <c r="E20" s="63">
        <v>-369</v>
      </c>
      <c r="F20" s="63">
        <v>113</v>
      </c>
      <c r="G20" s="63">
        <v>334</v>
      </c>
    </row>
    <row r="21" spans="1:7" ht="15" customHeight="1" outlineLevel="2" x14ac:dyDescent="0.15">
      <c r="A21" s="32" t="s">
        <v>292</v>
      </c>
      <c r="B21" s="62">
        <v>-77</v>
      </c>
      <c r="C21" s="62">
        <v>-79</v>
      </c>
      <c r="D21" s="62">
        <v>-170</v>
      </c>
      <c r="E21" s="62">
        <v>-51</v>
      </c>
      <c r="F21" s="62">
        <v>-48</v>
      </c>
      <c r="G21" s="62">
        <v>-95</v>
      </c>
    </row>
    <row r="22" spans="1:7" ht="15" customHeight="1" outlineLevel="2" x14ac:dyDescent="0.15">
      <c r="A22" s="30" t="s">
        <v>224</v>
      </c>
      <c r="B22" s="36">
        <v>69</v>
      </c>
      <c r="C22" s="61">
        <v>-46</v>
      </c>
      <c r="D22" s="36">
        <v>246</v>
      </c>
      <c r="E22" s="61">
        <v>-149</v>
      </c>
      <c r="F22" s="61">
        <v>-125</v>
      </c>
      <c r="G22" s="61">
        <v>-104</v>
      </c>
    </row>
    <row r="23" spans="1:7" ht="15" customHeight="1" outlineLevel="2" x14ac:dyDescent="0.15">
      <c r="A23" s="32" t="s">
        <v>293</v>
      </c>
      <c r="B23" s="59">
        <v>407</v>
      </c>
      <c r="C23" s="62">
        <v>-246</v>
      </c>
      <c r="D23" s="59">
        <v>821</v>
      </c>
      <c r="E23" s="62">
        <v>-169</v>
      </c>
      <c r="F23" s="59">
        <v>286</v>
      </c>
      <c r="G23" s="59">
        <v>533</v>
      </c>
    </row>
    <row r="24" spans="1:7" ht="15" customHeight="1" outlineLevel="1" x14ac:dyDescent="0.15">
      <c r="A24" s="41" t="s">
        <v>294</v>
      </c>
      <c r="B24" s="36">
        <v>2559</v>
      </c>
      <c r="C24" s="36">
        <v>2550</v>
      </c>
      <c r="D24" s="36">
        <v>2865</v>
      </c>
      <c r="E24" s="36">
        <v>3330</v>
      </c>
      <c r="F24" s="36">
        <v>3539</v>
      </c>
      <c r="G24" s="36">
        <v>4647</v>
      </c>
    </row>
    <row r="25" spans="1:7" ht="15" customHeight="1" x14ac:dyDescent="0.15">
      <c r="A25" s="35" t="s">
        <v>295</v>
      </c>
      <c r="B25" s="35"/>
      <c r="C25" s="35"/>
      <c r="D25" s="35"/>
      <c r="E25" s="35"/>
      <c r="F25" s="35"/>
      <c r="G25" s="35"/>
    </row>
    <row r="26" spans="1:7" ht="15" customHeight="1" outlineLevel="1" x14ac:dyDescent="0.15">
      <c r="A26" s="34" t="s">
        <v>296</v>
      </c>
      <c r="B26" s="63">
        <v>-718</v>
      </c>
      <c r="C26" s="63">
        <v>-727</v>
      </c>
      <c r="D26" s="63">
        <v>-895</v>
      </c>
      <c r="E26" s="63">
        <v>-957</v>
      </c>
      <c r="F26" s="63">
        <v>-810</v>
      </c>
      <c r="G26" s="63">
        <v>-1231</v>
      </c>
    </row>
    <row r="27" spans="1:7" ht="15" customHeight="1" outlineLevel="2" x14ac:dyDescent="0.15">
      <c r="A27" s="32" t="s">
        <v>297</v>
      </c>
      <c r="B27" s="62">
        <v>-693</v>
      </c>
      <c r="C27" s="62">
        <v>-727</v>
      </c>
      <c r="D27" s="62">
        <v>-895</v>
      </c>
      <c r="E27" s="62">
        <v>-957</v>
      </c>
      <c r="F27" s="62">
        <v>-810</v>
      </c>
      <c r="G27" s="62">
        <v>-1231</v>
      </c>
    </row>
    <row r="28" spans="1:7" ht="15" customHeight="1" outlineLevel="2" x14ac:dyDescent="0.15">
      <c r="A28" s="30" t="s">
        <v>298</v>
      </c>
      <c r="B28" s="61">
        <v>-25</v>
      </c>
      <c r="C28" s="36">
        <v>0</v>
      </c>
      <c r="D28" s="36">
        <v>0</v>
      </c>
      <c r="E28" s="36">
        <v>0</v>
      </c>
      <c r="F28" s="36">
        <v>0</v>
      </c>
      <c r="G28" s="36">
        <v>0</v>
      </c>
    </row>
    <row r="29" spans="1:7" ht="15" customHeight="1" outlineLevel="1" x14ac:dyDescent="0.15">
      <c r="A29" s="44" t="s">
        <v>299</v>
      </c>
      <c r="B29" s="59">
        <v>0</v>
      </c>
      <c r="C29" s="62">
        <v>-174</v>
      </c>
      <c r="D29" s="62">
        <v>-15155</v>
      </c>
      <c r="E29" s="59">
        <v>0</v>
      </c>
      <c r="F29" s="62">
        <v>-164</v>
      </c>
      <c r="G29" s="62">
        <v>-508</v>
      </c>
    </row>
    <row r="30" spans="1:7" ht="15" customHeight="1" outlineLevel="1" x14ac:dyDescent="0.15">
      <c r="A30" s="41" t="s">
        <v>300</v>
      </c>
      <c r="B30" s="36">
        <v>158</v>
      </c>
      <c r="C30" s="36">
        <v>165</v>
      </c>
      <c r="D30" s="36">
        <v>534</v>
      </c>
      <c r="E30" s="36">
        <v>477</v>
      </c>
      <c r="F30" s="36">
        <v>0</v>
      </c>
      <c r="G30" s="36">
        <v>0</v>
      </c>
    </row>
    <row r="31" spans="1:7" ht="15" customHeight="1" outlineLevel="1" x14ac:dyDescent="0.15">
      <c r="A31" s="38" t="s">
        <v>301</v>
      </c>
      <c r="B31" s="60">
        <v>-1</v>
      </c>
      <c r="C31" s="60">
        <v>13</v>
      </c>
      <c r="D31" s="60">
        <v>0</v>
      </c>
      <c r="E31" s="60">
        <v>0</v>
      </c>
      <c r="F31" s="60">
        <v>0</v>
      </c>
      <c r="G31" s="60">
        <v>0</v>
      </c>
    </row>
    <row r="32" spans="1:7" ht="15" customHeight="1" outlineLevel="2" x14ac:dyDescent="0.15">
      <c r="A32" s="30" t="s">
        <v>302</v>
      </c>
      <c r="B32" s="36">
        <v>1</v>
      </c>
      <c r="C32" s="36">
        <v>0</v>
      </c>
      <c r="D32" s="36">
        <v>0</v>
      </c>
      <c r="E32" s="36">
        <v>0</v>
      </c>
      <c r="F32" s="36">
        <v>0</v>
      </c>
      <c r="G32" s="36">
        <v>0</v>
      </c>
    </row>
    <row r="33" spans="1:7" ht="15" customHeight="1" outlineLevel="2" x14ac:dyDescent="0.15">
      <c r="A33" s="32" t="s">
        <v>303</v>
      </c>
      <c r="B33" s="59">
        <v>0</v>
      </c>
      <c r="C33" s="59">
        <v>13</v>
      </c>
      <c r="D33" s="59">
        <v>0</v>
      </c>
      <c r="E33" s="59">
        <v>0</v>
      </c>
      <c r="F33" s="59">
        <v>0</v>
      </c>
      <c r="G33" s="59">
        <v>0</v>
      </c>
    </row>
    <row r="34" spans="1:7" ht="15" customHeight="1" outlineLevel="1" x14ac:dyDescent="0.15">
      <c r="A34" s="34" t="s">
        <v>289</v>
      </c>
      <c r="B34" s="63">
        <v>-108</v>
      </c>
      <c r="C34" s="63">
        <v>-160</v>
      </c>
      <c r="D34" s="63">
        <v>-217</v>
      </c>
      <c r="E34" s="63">
        <v>-261</v>
      </c>
      <c r="F34" s="63">
        <v>-258</v>
      </c>
      <c r="G34" s="63">
        <v>-142</v>
      </c>
    </row>
    <row r="35" spans="1:7" ht="15" customHeight="1" outlineLevel="2" x14ac:dyDescent="0.15">
      <c r="A35" s="32" t="s">
        <v>304</v>
      </c>
      <c r="B35" s="62">
        <v>-108</v>
      </c>
      <c r="C35" s="62">
        <v>-160</v>
      </c>
      <c r="D35" s="62">
        <v>-217</v>
      </c>
      <c r="E35" s="62">
        <v>-261</v>
      </c>
      <c r="F35" s="62">
        <v>-258</v>
      </c>
      <c r="G35" s="62">
        <v>-142</v>
      </c>
    </row>
    <row r="36" spans="1:7" ht="15" customHeight="1" outlineLevel="2" x14ac:dyDescent="0.15">
      <c r="A36" s="30" t="s">
        <v>305</v>
      </c>
      <c r="B36" s="40"/>
      <c r="C36" s="36">
        <v>0</v>
      </c>
      <c r="D36" s="36">
        <v>0</v>
      </c>
      <c r="E36" s="36">
        <v>0</v>
      </c>
      <c r="F36" s="36">
        <v>0</v>
      </c>
      <c r="G36" s="36">
        <v>0</v>
      </c>
    </row>
    <row r="37" spans="1:7" ht="15" customHeight="1" outlineLevel="1" x14ac:dyDescent="0.15">
      <c r="A37" s="44" t="s">
        <v>306</v>
      </c>
      <c r="B37" s="62">
        <v>-669</v>
      </c>
      <c r="C37" s="62">
        <v>-883</v>
      </c>
      <c r="D37" s="62">
        <v>-15733</v>
      </c>
      <c r="E37" s="62">
        <v>-741</v>
      </c>
      <c r="F37" s="62">
        <v>-1232</v>
      </c>
      <c r="G37" s="62">
        <v>-1881</v>
      </c>
    </row>
    <row r="38" spans="1:7" ht="15" customHeight="1" x14ac:dyDescent="0.15">
      <c r="A38" s="57" t="s">
        <v>307</v>
      </c>
      <c r="B38" s="57"/>
      <c r="C38" s="57"/>
      <c r="D38" s="57"/>
      <c r="E38" s="57"/>
      <c r="F38" s="57"/>
      <c r="G38" s="57"/>
    </row>
    <row r="39" spans="1:7" ht="15" customHeight="1" outlineLevel="1" x14ac:dyDescent="0.15">
      <c r="A39" s="38" t="s">
        <v>308</v>
      </c>
      <c r="B39" s="45">
        <v>-562</v>
      </c>
      <c r="C39" s="45">
        <v>-677</v>
      </c>
      <c r="D39" s="45">
        <v>-927</v>
      </c>
      <c r="E39" s="45">
        <v>-984</v>
      </c>
      <c r="F39" s="45">
        <v>-1026</v>
      </c>
      <c r="G39" s="45">
        <v>-1048</v>
      </c>
    </row>
    <row r="40" spans="1:7" ht="15" customHeight="1" outlineLevel="2" x14ac:dyDescent="0.15">
      <c r="A40" s="30" t="s">
        <v>309</v>
      </c>
      <c r="B40" s="46">
        <v>-562</v>
      </c>
      <c r="C40" s="46">
        <v>-677</v>
      </c>
      <c r="D40" s="46">
        <v>-927</v>
      </c>
      <c r="E40" s="46">
        <v>-984</v>
      </c>
      <c r="F40" s="46">
        <v>-1026</v>
      </c>
      <c r="G40" s="46">
        <v>-958</v>
      </c>
    </row>
    <row r="41" spans="1:7" ht="15" customHeight="1" outlineLevel="2" x14ac:dyDescent="0.15">
      <c r="A41" s="32" t="s">
        <v>202</v>
      </c>
      <c r="B41" s="31">
        <v>0</v>
      </c>
      <c r="C41" s="48"/>
      <c r="D41" s="48"/>
      <c r="E41" s="48"/>
      <c r="F41" s="48"/>
      <c r="G41" s="47">
        <v>-90</v>
      </c>
    </row>
    <row r="42" spans="1:7" ht="15" customHeight="1" outlineLevel="1" x14ac:dyDescent="0.15">
      <c r="A42" s="34" t="s">
        <v>310</v>
      </c>
      <c r="B42" s="33">
        <v>-32</v>
      </c>
      <c r="C42" s="33">
        <v>4607</v>
      </c>
      <c r="D42" s="33">
        <v>0</v>
      </c>
      <c r="E42" s="33">
        <v>0</v>
      </c>
      <c r="F42" s="33">
        <v>2917</v>
      </c>
      <c r="G42" s="33">
        <v>-1750</v>
      </c>
    </row>
    <row r="43" spans="1:7" ht="15" customHeight="1" outlineLevel="2" x14ac:dyDescent="0.15">
      <c r="A43" s="32" t="s">
        <v>311</v>
      </c>
      <c r="B43" s="47">
        <v>-32</v>
      </c>
      <c r="C43" s="47">
        <v>-220</v>
      </c>
      <c r="D43" s="31">
        <v>0</v>
      </c>
      <c r="E43" s="31">
        <v>0</v>
      </c>
      <c r="F43" s="31">
        <v>0</v>
      </c>
      <c r="G43" s="47">
        <v>-1750</v>
      </c>
    </row>
    <row r="44" spans="1:7" ht="15" customHeight="1" outlineLevel="2" x14ac:dyDescent="0.15">
      <c r="A44" s="52" t="s">
        <v>312</v>
      </c>
      <c r="B44" s="33">
        <v>0</v>
      </c>
      <c r="C44" s="33">
        <v>4827</v>
      </c>
      <c r="D44" s="33">
        <v>0</v>
      </c>
      <c r="E44" s="33">
        <v>0</v>
      </c>
      <c r="F44" s="33">
        <v>2917</v>
      </c>
      <c r="G44" s="33">
        <v>0</v>
      </c>
    </row>
    <row r="45" spans="1:7" ht="15" customHeight="1" outlineLevel="3" x14ac:dyDescent="0.15">
      <c r="A45" s="50" t="s">
        <v>313</v>
      </c>
      <c r="B45" s="31">
        <v>0</v>
      </c>
      <c r="C45" s="31">
        <v>4827</v>
      </c>
      <c r="D45" s="31">
        <v>0</v>
      </c>
      <c r="E45" s="31">
        <v>0</v>
      </c>
      <c r="F45" s="31">
        <v>2917</v>
      </c>
      <c r="G45" s="31">
        <v>0</v>
      </c>
    </row>
    <row r="46" spans="1:7" ht="15" customHeight="1" outlineLevel="1" x14ac:dyDescent="0.15">
      <c r="A46" s="34" t="s">
        <v>314</v>
      </c>
      <c r="B46" s="33">
        <v>-1252</v>
      </c>
      <c r="C46" s="33">
        <v>7282</v>
      </c>
      <c r="D46" s="33">
        <v>1090</v>
      </c>
      <c r="E46" s="33">
        <v>-2035</v>
      </c>
      <c r="F46" s="33">
        <v>-1760</v>
      </c>
      <c r="G46" s="33">
        <v>-243</v>
      </c>
    </row>
    <row r="47" spans="1:7" ht="15" customHeight="1" outlineLevel="2" x14ac:dyDescent="0.15">
      <c r="A47" s="32" t="s">
        <v>315</v>
      </c>
      <c r="B47" s="47">
        <v>-500</v>
      </c>
      <c r="C47" s="47">
        <v>-200</v>
      </c>
      <c r="D47" s="31">
        <v>0</v>
      </c>
      <c r="E47" s="31">
        <v>485</v>
      </c>
      <c r="F47" s="47">
        <v>-485</v>
      </c>
      <c r="G47" s="31">
        <v>0</v>
      </c>
    </row>
    <row r="48" spans="1:7" ht="15" customHeight="1" outlineLevel="2" x14ac:dyDescent="0.15">
      <c r="A48" s="52" t="s">
        <v>316</v>
      </c>
      <c r="B48" s="33">
        <v>-752</v>
      </c>
      <c r="C48" s="33">
        <v>7482</v>
      </c>
      <c r="D48" s="33">
        <v>1090</v>
      </c>
      <c r="E48" s="33">
        <v>-2520</v>
      </c>
      <c r="F48" s="33">
        <v>-1275</v>
      </c>
      <c r="G48" s="33">
        <v>-243</v>
      </c>
    </row>
    <row r="49" spans="1:7" ht="15" customHeight="1" outlineLevel="3" x14ac:dyDescent="0.15">
      <c r="A49" s="50" t="s">
        <v>317</v>
      </c>
      <c r="B49" s="31">
        <v>0</v>
      </c>
      <c r="C49" s="31">
        <v>11462</v>
      </c>
      <c r="D49" s="31">
        <v>5086</v>
      </c>
      <c r="E49" s="31">
        <v>2224</v>
      </c>
      <c r="F49" s="31">
        <v>3389</v>
      </c>
      <c r="G49" s="31">
        <v>4869</v>
      </c>
    </row>
    <row r="50" spans="1:7" ht="15" customHeight="1" outlineLevel="3" x14ac:dyDescent="0.15">
      <c r="A50" s="49" t="s">
        <v>318</v>
      </c>
      <c r="B50" s="46">
        <v>-752</v>
      </c>
      <c r="C50" s="46">
        <v>-3980</v>
      </c>
      <c r="D50" s="46">
        <v>-3996</v>
      </c>
      <c r="E50" s="46">
        <v>-4744</v>
      </c>
      <c r="F50" s="46">
        <v>-4664</v>
      </c>
      <c r="G50" s="46">
        <v>-5112</v>
      </c>
    </row>
    <row r="51" spans="1:7" ht="15" customHeight="1" outlineLevel="1" x14ac:dyDescent="0.15">
      <c r="A51" s="38" t="s">
        <v>289</v>
      </c>
      <c r="B51" s="45">
        <v>85</v>
      </c>
      <c r="C51" s="45">
        <v>-235</v>
      </c>
      <c r="D51" s="45">
        <v>-221</v>
      </c>
      <c r="E51" s="45">
        <v>-204</v>
      </c>
      <c r="F51" s="45">
        <v>-109</v>
      </c>
      <c r="G51" s="45">
        <v>-265</v>
      </c>
    </row>
    <row r="52" spans="1:7" ht="15" customHeight="1" outlineLevel="2" x14ac:dyDescent="0.15">
      <c r="A52" s="30" t="s">
        <v>304</v>
      </c>
      <c r="B52" s="29">
        <v>0</v>
      </c>
      <c r="C52" s="46">
        <v>-235</v>
      </c>
      <c r="D52" s="46">
        <v>-221</v>
      </c>
      <c r="E52" s="46">
        <v>-205</v>
      </c>
      <c r="F52" s="46">
        <v>-109</v>
      </c>
      <c r="G52" s="46">
        <v>-265</v>
      </c>
    </row>
    <row r="53" spans="1:7" ht="15" customHeight="1" outlineLevel="2" x14ac:dyDescent="0.15">
      <c r="A53" s="32" t="s">
        <v>305</v>
      </c>
      <c r="B53" s="31">
        <v>85</v>
      </c>
      <c r="C53" s="31">
        <v>0</v>
      </c>
      <c r="D53" s="31">
        <v>0</v>
      </c>
      <c r="E53" s="31">
        <v>1</v>
      </c>
      <c r="F53" s="31">
        <v>0</v>
      </c>
      <c r="G53" s="31">
        <v>0</v>
      </c>
    </row>
    <row r="54" spans="1:7" ht="15" customHeight="1" outlineLevel="1" x14ac:dyDescent="0.15">
      <c r="A54" s="41" t="s">
        <v>319</v>
      </c>
      <c r="B54" s="46">
        <v>-1761</v>
      </c>
      <c r="C54" s="29">
        <v>10977</v>
      </c>
      <c r="D54" s="46">
        <v>-58</v>
      </c>
      <c r="E54" s="46">
        <v>-3223</v>
      </c>
      <c r="F54" s="29">
        <v>22</v>
      </c>
      <c r="G54" s="46">
        <v>-3306</v>
      </c>
    </row>
    <row r="55" spans="1:7" ht="15" customHeight="1" x14ac:dyDescent="0.15">
      <c r="A55" s="35" t="s">
        <v>320</v>
      </c>
      <c r="B55" s="35"/>
      <c r="C55" s="35"/>
      <c r="D55" s="35"/>
      <c r="E55" s="35"/>
      <c r="F55" s="35"/>
      <c r="G55" s="35"/>
    </row>
    <row r="56" spans="1:7" ht="15" customHeight="1" outlineLevel="1" x14ac:dyDescent="0.15">
      <c r="A56" s="41" t="s">
        <v>321</v>
      </c>
      <c r="B56" s="61">
        <v>-12</v>
      </c>
      <c r="C56" s="61">
        <v>-6</v>
      </c>
      <c r="D56" s="61">
        <v>-17</v>
      </c>
      <c r="E56" s="61">
        <v>-12</v>
      </c>
      <c r="F56" s="61">
        <v>-3</v>
      </c>
      <c r="G56" s="36">
        <v>15</v>
      </c>
    </row>
    <row r="57" spans="1:7" ht="15" customHeight="1" outlineLevel="1" x14ac:dyDescent="0.15">
      <c r="A57" s="44" t="s">
        <v>322</v>
      </c>
      <c r="B57" s="59">
        <v>0</v>
      </c>
      <c r="C57" s="59">
        <v>0</v>
      </c>
      <c r="D57" s="59">
        <v>0</v>
      </c>
      <c r="E57" s="59">
        <v>0</v>
      </c>
      <c r="F57" s="59">
        <v>0</v>
      </c>
      <c r="G57" s="59">
        <v>0</v>
      </c>
    </row>
    <row r="58" spans="1:7" ht="15" customHeight="1" outlineLevel="1" x14ac:dyDescent="0.15">
      <c r="A58" s="41" t="s">
        <v>323</v>
      </c>
      <c r="B58" s="36">
        <v>117</v>
      </c>
      <c r="C58" s="36">
        <v>12638</v>
      </c>
      <c r="D58" s="61">
        <v>-12943</v>
      </c>
      <c r="E58" s="61">
        <v>-646</v>
      </c>
      <c r="F58" s="36">
        <v>2326</v>
      </c>
      <c r="G58" s="61">
        <v>-525</v>
      </c>
    </row>
    <row r="59" spans="1:7" ht="15" customHeight="1" outlineLevel="1" x14ac:dyDescent="0.15">
      <c r="A59" s="38" t="s">
        <v>324</v>
      </c>
      <c r="B59" s="60">
        <v>1866</v>
      </c>
      <c r="C59" s="60">
        <v>1823</v>
      </c>
      <c r="D59" s="60">
        <v>1970</v>
      </c>
      <c r="E59" s="60">
        <v>2373</v>
      </c>
      <c r="F59" s="60">
        <v>2729</v>
      </c>
      <c r="G59" s="60">
        <v>3416</v>
      </c>
    </row>
    <row r="60" spans="1:7" ht="15" customHeight="1" outlineLevel="2" x14ac:dyDescent="0.15">
      <c r="A60" s="30" t="s">
        <v>325</v>
      </c>
      <c r="B60" s="36">
        <v>8.5778909999999993</v>
      </c>
      <c r="C60" s="36">
        <v>8.1533890000000007</v>
      </c>
      <c r="D60" s="36">
        <v>7.4446089999999998</v>
      </c>
      <c r="E60" s="36">
        <v>8.6361570000000007</v>
      </c>
      <c r="F60" s="36">
        <v>9.6635290000000005</v>
      </c>
      <c r="G60" s="36">
        <v>11.695066000000001</v>
      </c>
    </row>
    <row r="61" spans="1:7" ht="15" customHeight="1" outlineLevel="2" x14ac:dyDescent="0.15">
      <c r="A61" s="32" t="s">
        <v>326</v>
      </c>
      <c r="B61" s="59">
        <v>4.7726540000000002</v>
      </c>
      <c r="C61" s="59">
        <v>4.1609540000000003</v>
      </c>
      <c r="D61" s="59">
        <v>2.852341</v>
      </c>
      <c r="E61" s="59">
        <v>3.4140410000000001</v>
      </c>
      <c r="F61" s="59">
        <v>4.1531409999999997</v>
      </c>
      <c r="G61" s="59">
        <v>4.7575729999999998</v>
      </c>
    </row>
    <row r="62" spans="1:7" ht="15" customHeight="1" x14ac:dyDescent="0.15">
      <c r="A62" s="28" t="s">
        <v>214</v>
      </c>
    </row>
  </sheetData>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67C8-231B-4449-A562-617238102986}">
  <sheetPr codeName="Sheet8">
    <outlinePr summaryBelow="0" summaryRight="0"/>
  </sheetPr>
  <dimension ref="A1:K12"/>
  <sheetViews>
    <sheetView showGridLines="0" topLeftCell="D1" workbookViewId="0">
      <selection activeCell="K6" sqref="K6"/>
    </sheetView>
  </sheetViews>
  <sheetFormatPr baseColWidth="10" defaultColWidth="9" defaultRowHeight="15" customHeight="1" outlineLevelRow="1" x14ac:dyDescent="0.15"/>
  <cols>
    <col min="1" max="1" width="29.83203125" style="27" customWidth="1"/>
    <col min="2" max="11" width="9" style="27" customWidth="1"/>
    <col min="12" max="16384" width="9" style="27"/>
  </cols>
  <sheetData>
    <row r="1" spans="1:11" ht="15" customHeight="1" x14ac:dyDescent="0.15">
      <c r="A1" s="56" t="s">
        <v>327</v>
      </c>
    </row>
    <row r="2" spans="1:11" ht="15" customHeight="1" x14ac:dyDescent="0.15">
      <c r="A2" s="56" t="s">
        <v>162</v>
      </c>
    </row>
    <row r="3" spans="1:11" ht="15" customHeight="1" x14ac:dyDescent="0.15">
      <c r="A3" s="53"/>
      <c r="B3" s="53" t="s">
        <v>328</v>
      </c>
      <c r="C3" s="53" t="s">
        <v>329</v>
      </c>
      <c r="D3" s="53" t="s">
        <v>330</v>
      </c>
      <c r="E3" s="53" t="s">
        <v>331</v>
      </c>
      <c r="F3" s="53" t="s">
        <v>155</v>
      </c>
      <c r="G3" s="53" t="s">
        <v>156</v>
      </c>
      <c r="H3" s="53" t="s">
        <v>157</v>
      </c>
      <c r="I3" s="53" t="s">
        <v>158</v>
      </c>
      <c r="J3" s="53" t="s">
        <v>159</v>
      </c>
      <c r="K3" s="53" t="s">
        <v>160</v>
      </c>
    </row>
    <row r="4" spans="1:11" ht="15" customHeight="1" x14ac:dyDescent="0.15">
      <c r="A4" s="40"/>
      <c r="B4" s="53" t="s">
        <v>332</v>
      </c>
      <c r="C4" s="53" t="s">
        <v>333</v>
      </c>
      <c r="D4" s="53" t="s">
        <v>333</v>
      </c>
      <c r="E4" s="53" t="s">
        <v>333</v>
      </c>
      <c r="F4" s="53" t="s">
        <v>332</v>
      </c>
      <c r="G4" s="53" t="s">
        <v>333</v>
      </c>
      <c r="H4" s="53" t="s">
        <v>333</v>
      </c>
      <c r="I4" s="53" t="s">
        <v>333</v>
      </c>
      <c r="J4" s="53" t="s">
        <v>332</v>
      </c>
      <c r="K4" s="53" t="s">
        <v>333</v>
      </c>
    </row>
    <row r="5" spans="1:11" ht="15" customHeight="1" x14ac:dyDescent="0.15">
      <c r="A5" s="48" t="s">
        <v>334</v>
      </c>
      <c r="B5" s="31">
        <v>7708.3819999999996</v>
      </c>
      <c r="C5" s="31">
        <v>8054</v>
      </c>
      <c r="D5" s="31">
        <v>8445</v>
      </c>
      <c r="E5" s="31">
        <v>10282</v>
      </c>
      <c r="F5" s="31">
        <v>12483</v>
      </c>
      <c r="G5" s="31">
        <v>12093</v>
      </c>
      <c r="H5" s="31">
        <v>15983</v>
      </c>
      <c r="I5" s="31">
        <v>17290</v>
      </c>
      <c r="J5" s="31">
        <v>17117</v>
      </c>
      <c r="K5" s="31">
        <v>20248</v>
      </c>
    </row>
    <row r="6" spans="1:11" ht="15" customHeight="1" x14ac:dyDescent="0.15">
      <c r="A6" s="40" t="s">
        <v>75</v>
      </c>
      <c r="B6" s="29">
        <v>4090.6930000000002</v>
      </c>
      <c r="C6" s="29">
        <v>4306</v>
      </c>
      <c r="D6" s="29">
        <v>4573</v>
      </c>
      <c r="E6" s="29">
        <v>6460</v>
      </c>
      <c r="F6" s="29">
        <v>8654</v>
      </c>
      <c r="G6" s="29">
        <v>8105</v>
      </c>
      <c r="H6" s="29">
        <v>8616</v>
      </c>
      <c r="I6" s="29">
        <v>9064</v>
      </c>
      <c r="J6" s="29">
        <v>8680</v>
      </c>
      <c r="K6" s="29">
        <v>9479</v>
      </c>
    </row>
    <row r="7" spans="1:11" ht="15" customHeight="1" x14ac:dyDescent="0.15">
      <c r="A7" s="48" t="s">
        <v>79</v>
      </c>
      <c r="B7" s="48" t="s">
        <v>335</v>
      </c>
      <c r="C7" s="48" t="s">
        <v>335</v>
      </c>
      <c r="D7" s="48" t="s">
        <v>335</v>
      </c>
      <c r="E7" s="31">
        <v>3822</v>
      </c>
      <c r="F7" s="31">
        <v>3829</v>
      </c>
      <c r="G7" s="31">
        <v>3988</v>
      </c>
      <c r="H7" s="31">
        <v>4330</v>
      </c>
      <c r="I7" s="31">
        <v>4300</v>
      </c>
      <c r="J7" s="31">
        <v>4675</v>
      </c>
      <c r="K7" s="31">
        <v>6530</v>
      </c>
    </row>
    <row r="8" spans="1:11" ht="15" customHeight="1" x14ac:dyDescent="0.15">
      <c r="A8" s="40" t="s">
        <v>81</v>
      </c>
      <c r="B8" s="40" t="s">
        <v>335</v>
      </c>
      <c r="C8" s="40" t="s">
        <v>335</v>
      </c>
      <c r="D8" s="40" t="s">
        <v>335</v>
      </c>
      <c r="E8" s="40" t="s">
        <v>335</v>
      </c>
      <c r="F8" s="40" t="s">
        <v>335</v>
      </c>
      <c r="G8" s="40" t="s">
        <v>335</v>
      </c>
      <c r="H8" s="29">
        <v>3037</v>
      </c>
      <c r="I8" s="29">
        <v>3926</v>
      </c>
      <c r="J8" s="29">
        <v>3762</v>
      </c>
      <c r="K8" s="29">
        <v>4239</v>
      </c>
    </row>
    <row r="9" spans="1:11" ht="15" customHeight="1" x14ac:dyDescent="0.15">
      <c r="A9" s="35" t="s">
        <v>336</v>
      </c>
      <c r="B9" s="45">
        <v>3617.6889999999999</v>
      </c>
      <c r="C9" s="45">
        <v>3748</v>
      </c>
      <c r="D9" s="45">
        <v>3872</v>
      </c>
      <c r="E9" s="35" t="s">
        <v>335</v>
      </c>
      <c r="F9" s="35" t="s">
        <v>335</v>
      </c>
      <c r="G9" s="35" t="s">
        <v>335</v>
      </c>
      <c r="H9" s="35" t="s">
        <v>335</v>
      </c>
      <c r="I9" s="35" t="s">
        <v>335</v>
      </c>
      <c r="J9" s="35" t="s">
        <v>335</v>
      </c>
      <c r="K9" s="35" t="s">
        <v>335</v>
      </c>
    </row>
    <row r="10" spans="1:11" ht="15" customHeight="1" outlineLevel="1" x14ac:dyDescent="0.15">
      <c r="A10" s="41" t="s">
        <v>337</v>
      </c>
      <c r="B10" s="29">
        <v>2538.0549999999998</v>
      </c>
      <c r="C10" s="29">
        <v>2646</v>
      </c>
      <c r="D10" s="29">
        <v>2713</v>
      </c>
      <c r="E10" s="40" t="s">
        <v>335</v>
      </c>
      <c r="F10" s="40" t="s">
        <v>335</v>
      </c>
      <c r="G10" s="40" t="s">
        <v>335</v>
      </c>
      <c r="H10" s="40" t="s">
        <v>335</v>
      </c>
      <c r="I10" s="40" t="s">
        <v>335</v>
      </c>
      <c r="J10" s="40" t="s">
        <v>335</v>
      </c>
      <c r="K10" s="40" t="s">
        <v>335</v>
      </c>
    </row>
    <row r="11" spans="1:11" ht="15" customHeight="1" outlineLevel="1" x14ac:dyDescent="0.15">
      <c r="A11" s="44" t="s">
        <v>338</v>
      </c>
      <c r="B11" s="31">
        <v>1079.634</v>
      </c>
      <c r="C11" s="31">
        <v>1102</v>
      </c>
      <c r="D11" s="31">
        <v>1159</v>
      </c>
      <c r="E11" s="48" t="s">
        <v>335</v>
      </c>
      <c r="F11" s="48" t="s">
        <v>335</v>
      </c>
      <c r="G11" s="48" t="s">
        <v>335</v>
      </c>
      <c r="H11" s="48" t="s">
        <v>335</v>
      </c>
      <c r="I11" s="48" t="s">
        <v>335</v>
      </c>
      <c r="J11" s="48" t="s">
        <v>335</v>
      </c>
      <c r="K11" s="48" t="s">
        <v>335</v>
      </c>
    </row>
    <row r="12" spans="1:11" ht="15" customHeight="1" x14ac:dyDescent="0.15">
      <c r="A12" s="28" t="s">
        <v>339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 Page</vt:lpstr>
      <vt:lpstr>Assumptions Explanation</vt:lpstr>
      <vt:lpstr>Inputs</vt:lpstr>
      <vt:lpstr>Historical Analysis</vt:lpstr>
      <vt:lpstr>Revenue Model</vt:lpstr>
      <vt:lpstr>DCF Valuation</vt:lpstr>
      <vt:lpstr>Comparables</vt:lpstr>
      <vt:lpstr>BDX-USA</vt:lpstr>
      <vt:lpstr>Cost of Debt</vt:lpstr>
      <vt:lpstr>Cost of Equity</vt:lpstr>
      <vt:lpstr>WACC</vt:lpstr>
      <vt:lpstr>Income Statement</vt:lpstr>
      <vt:lpstr>Balance Sheet</vt:lpstr>
      <vt:lpstr>Cash Flow Statement</vt:lpstr>
      <vt:lpstr>Segments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Magowan</dc:creator>
  <cp:keywords/>
  <dc:description/>
  <cp:lastModifiedBy>Amy Akiyama</cp:lastModifiedBy>
  <cp:revision/>
  <dcterms:created xsi:type="dcterms:W3CDTF">2022-03-15T21:34:29Z</dcterms:created>
  <dcterms:modified xsi:type="dcterms:W3CDTF">2022-04-01T17:12:10Z</dcterms:modified>
  <cp:category/>
  <cp:contentStatus/>
</cp:coreProperties>
</file>