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x2322\Desktop\"/>
    </mc:Choice>
  </mc:AlternateContent>
  <bookViews>
    <workbookView xWindow="10395" yWindow="-105" windowWidth="14850" windowHeight="12735"/>
  </bookViews>
  <sheets>
    <sheet name="Sheet 1" sheetId="2" r:id="rId1"/>
    <sheet name="Sheet1" sheetId="3" r:id="rId2"/>
  </sheets>
  <calcPr calcId="162913"/>
</workbook>
</file>

<file path=xl/calcChain.xml><?xml version="1.0" encoding="utf-8"?>
<calcChain xmlns="http://schemas.openxmlformats.org/spreadsheetml/2006/main">
  <c r="I5" i="2" l="1"/>
  <c r="H6" i="2"/>
  <c r="G7" i="2"/>
  <c r="F8" i="2"/>
  <c r="J8" i="2"/>
  <c r="I9" i="2"/>
  <c r="H10" i="2"/>
  <c r="G11" i="2"/>
  <c r="F12" i="2"/>
  <c r="J12" i="2"/>
  <c r="F13" i="2"/>
  <c r="H14" i="2"/>
  <c r="I15" i="2"/>
  <c r="F16" i="2"/>
  <c r="G17" i="2"/>
  <c r="I18" i="2"/>
  <c r="G20" i="2"/>
  <c r="I21" i="2"/>
  <c r="J22" i="2"/>
  <c r="H23" i="2"/>
  <c r="H24" i="2"/>
  <c r="F26" i="2"/>
  <c r="I31" i="2"/>
  <c r="G33" i="2"/>
  <c r="J38" i="2"/>
  <c r="H40" i="2"/>
  <c r="F42" i="2"/>
  <c r="I47" i="2"/>
  <c r="G49" i="2"/>
  <c r="J54" i="2"/>
  <c r="H56" i="2"/>
  <c r="F58" i="2"/>
  <c r="I63" i="2"/>
  <c r="G65" i="2"/>
  <c r="H69" i="2"/>
  <c r="I76" i="2"/>
  <c r="J83" i="2"/>
  <c r="F87" i="2"/>
  <c r="G94" i="2"/>
  <c r="H101" i="2"/>
  <c r="I108" i="2"/>
  <c r="F5" i="2"/>
  <c r="J5" i="2"/>
  <c r="I6" i="2"/>
  <c r="H7" i="2"/>
  <c r="G8" i="2"/>
  <c r="F9" i="2"/>
  <c r="J9" i="2"/>
  <c r="I10" i="2"/>
  <c r="H11" i="2"/>
  <c r="G12" i="2"/>
  <c r="G13" i="2"/>
  <c r="I14" i="2"/>
  <c r="G16" i="2"/>
  <c r="I17" i="2"/>
  <c r="J18" i="2"/>
  <c r="G19" i="2"/>
  <c r="H20" i="2"/>
  <c r="J21" i="2"/>
  <c r="F22" i="2"/>
  <c r="I23" i="2"/>
  <c r="J26" i="2"/>
  <c r="H28" i="2"/>
  <c r="F30" i="2"/>
  <c r="I35" i="2"/>
  <c r="G37" i="2"/>
  <c r="J42" i="2"/>
  <c r="H44" i="2"/>
  <c r="F46" i="2"/>
  <c r="I51" i="2"/>
  <c r="G53" i="2"/>
  <c r="J58" i="2"/>
  <c r="H60" i="2"/>
  <c r="F62" i="2"/>
  <c r="I67" i="2"/>
  <c r="G70" i="2"/>
  <c r="H77" i="2"/>
  <c r="I84" i="2"/>
  <c r="J91" i="2"/>
  <c r="F95" i="2"/>
  <c r="G102" i="2"/>
  <c r="H109" i="2"/>
  <c r="F6" i="2"/>
  <c r="I7" i="2"/>
  <c r="H8" i="2"/>
  <c r="G9" i="2"/>
  <c r="F10" i="2"/>
  <c r="J10" i="2"/>
  <c r="I11" i="2"/>
  <c r="H12" i="2"/>
  <c r="I13" i="2"/>
  <c r="J14" i="2"/>
  <c r="G15" i="2"/>
  <c r="H16" i="2"/>
  <c r="J17" i="2"/>
  <c r="F18" i="2"/>
  <c r="H19" i="2"/>
  <c r="J20" i="2"/>
  <c r="F21" i="2"/>
  <c r="H22" i="2"/>
  <c r="G25" i="2"/>
  <c r="J30" i="2"/>
  <c r="H32" i="2"/>
  <c r="F34" i="2"/>
  <c r="I39" i="2"/>
  <c r="G41" i="2"/>
  <c r="J46" i="2"/>
  <c r="H48" i="2"/>
  <c r="F50" i="2"/>
  <c r="I55" i="2"/>
  <c r="G57" i="2"/>
  <c r="J62" i="2"/>
  <c r="H64" i="2"/>
  <c r="F66" i="2"/>
  <c r="F71" i="2"/>
  <c r="G78" i="2"/>
  <c r="H85" i="2"/>
  <c r="I92" i="2"/>
  <c r="J99" i="2"/>
  <c r="F103" i="2"/>
  <c r="G110" i="2"/>
  <c r="G5" i="2"/>
  <c r="J6" i="2"/>
  <c r="D5" i="2"/>
  <c r="H5" i="2"/>
  <c r="C6" i="2"/>
  <c r="G6" i="2"/>
  <c r="B7" i="2"/>
  <c r="F7" i="2"/>
  <c r="J7" i="2"/>
  <c r="E8" i="2"/>
  <c r="I8" i="2"/>
  <c r="D9" i="2"/>
  <c r="H9" i="2"/>
  <c r="C10" i="2"/>
  <c r="G10" i="2"/>
  <c r="B11" i="2"/>
  <c r="F11" i="2"/>
  <c r="J11" i="2"/>
  <c r="E12" i="2"/>
  <c r="I12" i="2"/>
  <c r="J13" i="2"/>
  <c r="F14" i="2"/>
  <c r="H15" i="2"/>
  <c r="J16" i="2"/>
  <c r="F17" i="2"/>
  <c r="H18" i="2"/>
  <c r="I19" i="2"/>
  <c r="F20" i="2"/>
  <c r="G21" i="2"/>
  <c r="I22" i="2"/>
  <c r="I27" i="2"/>
  <c r="G29" i="2"/>
  <c r="J34" i="2"/>
  <c r="H36" i="2"/>
  <c r="F38" i="2"/>
  <c r="I43" i="2"/>
  <c r="G45" i="2"/>
  <c r="J50" i="2"/>
  <c r="H52" i="2"/>
  <c r="F54" i="2"/>
  <c r="I59" i="2"/>
  <c r="G61" i="2"/>
  <c r="J66" i="2"/>
  <c r="I68" i="2"/>
  <c r="J75" i="2"/>
  <c r="F79" i="2"/>
  <c r="G86" i="2"/>
  <c r="H93" i="2"/>
  <c r="I100" i="2"/>
  <c r="J107" i="2"/>
  <c r="F111" i="2"/>
  <c r="J115" i="2"/>
  <c r="I116" i="2"/>
  <c r="H117" i="2"/>
  <c r="G118" i="2"/>
  <c r="F119" i="2"/>
  <c r="J123" i="2"/>
  <c r="I124" i="2"/>
  <c r="H125" i="2"/>
  <c r="G126" i="2"/>
  <c r="F127" i="2"/>
  <c r="J131" i="2"/>
  <c r="I132" i="2"/>
  <c r="H133" i="2"/>
  <c r="G134" i="2"/>
  <c r="F135" i="2"/>
  <c r="J139" i="2"/>
  <c r="I140" i="2"/>
  <c r="H141" i="2"/>
  <c r="G142" i="2"/>
  <c r="F143" i="2"/>
  <c r="J147" i="2"/>
  <c r="I148" i="2"/>
  <c r="H149" i="2"/>
  <c r="G150" i="2"/>
  <c r="F151" i="2"/>
  <c r="J155" i="2"/>
  <c r="I156" i="2"/>
  <c r="H157" i="2"/>
  <c r="G158" i="2"/>
  <c r="F159" i="2"/>
  <c r="J163" i="2"/>
  <c r="I164" i="2"/>
  <c r="H165" i="2"/>
  <c r="G166" i="2"/>
  <c r="F167" i="2"/>
  <c r="I171" i="2"/>
  <c r="G173" i="2"/>
  <c r="J178" i="2"/>
  <c r="H180" i="2"/>
  <c r="F182" i="2"/>
  <c r="I187" i="2"/>
  <c r="G189" i="2"/>
  <c r="J194" i="2"/>
  <c r="H196" i="2"/>
  <c r="F198" i="2"/>
  <c r="I203" i="2"/>
  <c r="G205" i="2"/>
  <c r="J210" i="2"/>
  <c r="H212" i="2"/>
  <c r="F214" i="2"/>
  <c r="F220" i="2"/>
  <c r="I222" i="2"/>
  <c r="G227" i="2"/>
  <c r="J229" i="2"/>
  <c r="H234" i="2"/>
  <c r="I241" i="2"/>
  <c r="F246" i="2"/>
  <c r="F249" i="2"/>
  <c r="G256" i="2"/>
  <c r="H263" i="2"/>
  <c r="I270" i="2"/>
  <c r="J277" i="2"/>
  <c r="F281" i="2"/>
  <c r="G288" i="2"/>
  <c r="H295" i="2"/>
  <c r="J309" i="2"/>
  <c r="G352" i="2"/>
  <c r="I366" i="2"/>
  <c r="D13" i="2"/>
  <c r="H13" i="2"/>
  <c r="C14" i="2"/>
  <c r="G14" i="2"/>
  <c r="B15" i="2"/>
  <c r="F15" i="2"/>
  <c r="J15" i="2"/>
  <c r="E16" i="2"/>
  <c r="I16" i="2"/>
  <c r="D17" i="2"/>
  <c r="H17" i="2"/>
  <c r="C18" i="2"/>
  <c r="G18" i="2"/>
  <c r="B19" i="2"/>
  <c r="F19" i="2"/>
  <c r="J19" i="2"/>
  <c r="E20" i="2"/>
  <c r="I20" i="2"/>
  <c r="D21" i="2"/>
  <c r="H21" i="2"/>
  <c r="C22" i="2"/>
  <c r="G22" i="2"/>
  <c r="B23" i="2"/>
  <c r="F23" i="2"/>
  <c r="J23" i="2"/>
  <c r="I24" i="2"/>
  <c r="H25" i="2"/>
  <c r="G26" i="2"/>
  <c r="F27" i="2"/>
  <c r="J27" i="2"/>
  <c r="I28" i="2"/>
  <c r="H29" i="2"/>
  <c r="G30" i="2"/>
  <c r="F31" i="2"/>
  <c r="J31" i="2"/>
  <c r="I32" i="2"/>
  <c r="H33" i="2"/>
  <c r="G34" i="2"/>
  <c r="F35" i="2"/>
  <c r="J35" i="2"/>
  <c r="I36" i="2"/>
  <c r="H37" i="2"/>
  <c r="G38" i="2"/>
  <c r="F39" i="2"/>
  <c r="J39" i="2"/>
  <c r="I40" i="2"/>
  <c r="H41" i="2"/>
  <c r="G42" i="2"/>
  <c r="F43" i="2"/>
  <c r="J43" i="2"/>
  <c r="I44" i="2"/>
  <c r="H45" i="2"/>
  <c r="G46" i="2"/>
  <c r="F47" i="2"/>
  <c r="J47" i="2"/>
  <c r="I48" i="2"/>
  <c r="H49" i="2"/>
  <c r="G50" i="2"/>
  <c r="F51" i="2"/>
  <c r="J51" i="2"/>
  <c r="I52" i="2"/>
  <c r="H53" i="2"/>
  <c r="G54" i="2"/>
  <c r="F55" i="2"/>
  <c r="J55" i="2"/>
  <c r="I56" i="2"/>
  <c r="H57" i="2"/>
  <c r="G58" i="2"/>
  <c r="F59" i="2"/>
  <c r="J59" i="2"/>
  <c r="I60" i="2"/>
  <c r="H61" i="2"/>
  <c r="G62" i="2"/>
  <c r="F63" i="2"/>
  <c r="J63" i="2"/>
  <c r="I64" i="2"/>
  <c r="H65" i="2"/>
  <c r="G66" i="2"/>
  <c r="F67" i="2"/>
  <c r="J67" i="2"/>
  <c r="J70" i="2"/>
  <c r="I71" i="2"/>
  <c r="H72" i="2"/>
  <c r="G73" i="2"/>
  <c r="F74" i="2"/>
  <c r="J78" i="2"/>
  <c r="I79" i="2"/>
  <c r="H80" i="2"/>
  <c r="G81" i="2"/>
  <c r="F82" i="2"/>
  <c r="J86" i="2"/>
  <c r="I87" i="2"/>
  <c r="H88" i="2"/>
  <c r="G89" i="2"/>
  <c r="F90" i="2"/>
  <c r="J94" i="2"/>
  <c r="I95" i="2"/>
  <c r="H96" i="2"/>
  <c r="G97" i="2"/>
  <c r="F98" i="2"/>
  <c r="J102" i="2"/>
  <c r="I103" i="2"/>
  <c r="H104" i="2"/>
  <c r="G105" i="2"/>
  <c r="F106" i="2"/>
  <c r="J110" i="2"/>
  <c r="I111" i="2"/>
  <c r="H112" i="2"/>
  <c r="G113" i="2"/>
  <c r="F114" i="2"/>
  <c r="J118" i="2"/>
  <c r="I119" i="2"/>
  <c r="H120" i="2"/>
  <c r="G121" i="2"/>
  <c r="F122" i="2"/>
  <c r="J126" i="2"/>
  <c r="I127" i="2"/>
  <c r="H128" i="2"/>
  <c r="G129" i="2"/>
  <c r="F130" i="2"/>
  <c r="J134" i="2"/>
  <c r="I135" i="2"/>
  <c r="H136" i="2"/>
  <c r="G137" i="2"/>
  <c r="F138" i="2"/>
  <c r="J142" i="2"/>
  <c r="I143" i="2"/>
  <c r="H144" i="2"/>
  <c r="G145" i="2"/>
  <c r="F146" i="2"/>
  <c r="J150" i="2"/>
  <c r="I151" i="2"/>
  <c r="H152" i="2"/>
  <c r="G153" i="2"/>
  <c r="F154" i="2"/>
  <c r="J158" i="2"/>
  <c r="I159" i="2"/>
  <c r="H160" i="2"/>
  <c r="G161" i="2"/>
  <c r="F162" i="2"/>
  <c r="J166" i="2"/>
  <c r="I167" i="2"/>
  <c r="H168" i="2"/>
  <c r="F170" i="2"/>
  <c r="I175" i="2"/>
  <c r="G177" i="2"/>
  <c r="J182" i="2"/>
  <c r="H184" i="2"/>
  <c r="F186" i="2"/>
  <c r="I191" i="2"/>
  <c r="G193" i="2"/>
  <c r="J198" i="2"/>
  <c r="H200" i="2"/>
  <c r="F202" i="2"/>
  <c r="I207" i="2"/>
  <c r="G209" i="2"/>
  <c r="J214" i="2"/>
  <c r="H216" i="2"/>
  <c r="H218" i="2"/>
  <c r="I225" i="2"/>
  <c r="F230" i="2"/>
  <c r="J232" i="2"/>
  <c r="G237" i="2"/>
  <c r="H244" i="2"/>
  <c r="J253" i="2"/>
  <c r="F257" i="2"/>
  <c r="G264" i="2"/>
  <c r="H271" i="2"/>
  <c r="I278" i="2"/>
  <c r="J285" i="2"/>
  <c r="F289" i="2"/>
  <c r="H296" i="2"/>
  <c r="F301" i="2"/>
  <c r="F313" i="2"/>
  <c r="H327" i="2"/>
  <c r="J341" i="2"/>
  <c r="J386" i="2"/>
  <c r="G23" i="2"/>
  <c r="B24" i="2"/>
  <c r="F24" i="2"/>
  <c r="J24" i="2"/>
  <c r="I25" i="2"/>
  <c r="H26" i="2"/>
  <c r="G27" i="2"/>
  <c r="F28" i="2"/>
  <c r="J28" i="2"/>
  <c r="I29" i="2"/>
  <c r="H30" i="2"/>
  <c r="G31" i="2"/>
  <c r="F32" i="2"/>
  <c r="J32" i="2"/>
  <c r="I33" i="2"/>
  <c r="H34" i="2"/>
  <c r="G35" i="2"/>
  <c r="F36" i="2"/>
  <c r="J36" i="2"/>
  <c r="I37" i="2"/>
  <c r="H38" i="2"/>
  <c r="G39" i="2"/>
  <c r="F40" i="2"/>
  <c r="J40" i="2"/>
  <c r="I41" i="2"/>
  <c r="H42" i="2"/>
  <c r="G43" i="2"/>
  <c r="F44" i="2"/>
  <c r="J44" i="2"/>
  <c r="I45" i="2"/>
  <c r="H46" i="2"/>
  <c r="G47" i="2"/>
  <c r="F48" i="2"/>
  <c r="J48" i="2"/>
  <c r="I49" i="2"/>
  <c r="H50" i="2"/>
  <c r="G51" i="2"/>
  <c r="F52" i="2"/>
  <c r="J52" i="2"/>
  <c r="I53" i="2"/>
  <c r="H54" i="2"/>
  <c r="G55" i="2"/>
  <c r="F56" i="2"/>
  <c r="J56" i="2"/>
  <c r="I57" i="2"/>
  <c r="H58" i="2"/>
  <c r="G59" i="2"/>
  <c r="F60" i="2"/>
  <c r="J60" i="2"/>
  <c r="I61" i="2"/>
  <c r="H62" i="2"/>
  <c r="G63" i="2"/>
  <c r="F64" i="2"/>
  <c r="J64" i="2"/>
  <c r="I65" i="2"/>
  <c r="H66" i="2"/>
  <c r="G67" i="2"/>
  <c r="F68" i="2"/>
  <c r="J71" i="2"/>
  <c r="I72" i="2"/>
  <c r="H73" i="2"/>
  <c r="G74" i="2"/>
  <c r="F75" i="2"/>
  <c r="J79" i="2"/>
  <c r="I80" i="2"/>
  <c r="H81" i="2"/>
  <c r="G82" i="2"/>
  <c r="F83" i="2"/>
  <c r="J87" i="2"/>
  <c r="I88" i="2"/>
  <c r="H89" i="2"/>
  <c r="G90" i="2"/>
  <c r="F91" i="2"/>
  <c r="J95" i="2"/>
  <c r="I96" i="2"/>
  <c r="H97" i="2"/>
  <c r="G98" i="2"/>
  <c r="F99" i="2"/>
  <c r="J103" i="2"/>
  <c r="I104" i="2"/>
  <c r="H105" i="2"/>
  <c r="G106" i="2"/>
  <c r="F107" i="2"/>
  <c r="J111" i="2"/>
  <c r="I112" i="2"/>
  <c r="H113" i="2"/>
  <c r="G114" i="2"/>
  <c r="F115" i="2"/>
  <c r="J119" i="2"/>
  <c r="I120" i="2"/>
  <c r="H121" i="2"/>
  <c r="G122" i="2"/>
  <c r="F123" i="2"/>
  <c r="J127" i="2"/>
  <c r="I128" i="2"/>
  <c r="H129" i="2"/>
  <c r="G130" i="2"/>
  <c r="F131" i="2"/>
  <c r="J135" i="2"/>
  <c r="I136" i="2"/>
  <c r="H137" i="2"/>
  <c r="G138" i="2"/>
  <c r="F139" i="2"/>
  <c r="J143" i="2"/>
  <c r="I144" i="2"/>
  <c r="H145" i="2"/>
  <c r="G146" i="2"/>
  <c r="F147" i="2"/>
  <c r="J151" i="2"/>
  <c r="I152" i="2"/>
  <c r="H153" i="2"/>
  <c r="G154" i="2"/>
  <c r="F155" i="2"/>
  <c r="J159" i="2"/>
  <c r="I160" i="2"/>
  <c r="H161" i="2"/>
  <c r="G162" i="2"/>
  <c r="F163" i="2"/>
  <c r="J167" i="2"/>
  <c r="J170" i="2"/>
  <c r="H172" i="2"/>
  <c r="F174" i="2"/>
  <c r="I179" i="2"/>
  <c r="G181" i="2"/>
  <c r="J186" i="2"/>
  <c r="H188" i="2"/>
  <c r="F190" i="2"/>
  <c r="I195" i="2"/>
  <c r="G197" i="2"/>
  <c r="J202" i="2"/>
  <c r="H204" i="2"/>
  <c r="F206" i="2"/>
  <c r="I211" i="2"/>
  <c r="G213" i="2"/>
  <c r="G221" i="2"/>
  <c r="H228" i="2"/>
  <c r="F233" i="2"/>
  <c r="I235" i="2"/>
  <c r="G240" i="2"/>
  <c r="J242" i="2"/>
  <c r="H247" i="2"/>
  <c r="I254" i="2"/>
  <c r="J261" i="2"/>
  <c r="F265" i="2"/>
  <c r="G272" i="2"/>
  <c r="H279" i="2"/>
  <c r="I286" i="2"/>
  <c r="J293" i="2"/>
  <c r="J297" i="2"/>
  <c r="G302" i="2"/>
  <c r="F345" i="2"/>
  <c r="H359" i="2"/>
  <c r="J373" i="2"/>
  <c r="G24" i="2"/>
  <c r="B25" i="2"/>
  <c r="J25" i="2"/>
  <c r="F25" i="2"/>
  <c r="E26" i="2"/>
  <c r="I26" i="2"/>
  <c r="D27" i="2"/>
  <c r="H27" i="2"/>
  <c r="C28" i="2"/>
  <c r="G28" i="2"/>
  <c r="B29" i="2"/>
  <c r="F29" i="2"/>
  <c r="J29" i="2"/>
  <c r="E30" i="2"/>
  <c r="I30" i="2"/>
  <c r="D31" i="2"/>
  <c r="H31" i="2"/>
  <c r="C32" i="2"/>
  <c r="G32" i="2"/>
  <c r="B33" i="2"/>
  <c r="F33" i="2"/>
  <c r="J33" i="2"/>
  <c r="E34" i="2"/>
  <c r="I34" i="2"/>
  <c r="D35" i="2"/>
  <c r="H35" i="2"/>
  <c r="C36" i="2"/>
  <c r="G36" i="2"/>
  <c r="B37" i="2"/>
  <c r="F37" i="2"/>
  <c r="J37" i="2"/>
  <c r="E38" i="2"/>
  <c r="I38" i="2"/>
  <c r="D39" i="2"/>
  <c r="H39" i="2"/>
  <c r="C40" i="2"/>
  <c r="G40" i="2"/>
  <c r="B41" i="2"/>
  <c r="F41" i="2"/>
  <c r="J41" i="2"/>
  <c r="E42" i="2"/>
  <c r="I42" i="2"/>
  <c r="D43" i="2"/>
  <c r="H43" i="2"/>
  <c r="C44" i="2"/>
  <c r="G44" i="2"/>
  <c r="B45" i="2"/>
  <c r="F45" i="2"/>
  <c r="J45" i="2"/>
  <c r="E46" i="2"/>
  <c r="I46" i="2"/>
  <c r="D47" i="2"/>
  <c r="H47" i="2"/>
  <c r="C48" i="2"/>
  <c r="G48" i="2"/>
  <c r="B49" i="2"/>
  <c r="F49" i="2"/>
  <c r="J49" i="2"/>
  <c r="E50" i="2"/>
  <c r="I50" i="2"/>
  <c r="D51" i="2"/>
  <c r="H51" i="2"/>
  <c r="C52" i="2"/>
  <c r="G52" i="2"/>
  <c r="B53" i="2"/>
  <c r="F53" i="2"/>
  <c r="J53" i="2"/>
  <c r="E54" i="2"/>
  <c r="I54" i="2"/>
  <c r="D55" i="2"/>
  <c r="H55" i="2"/>
  <c r="C56" i="2"/>
  <c r="G56" i="2"/>
  <c r="B57" i="2"/>
  <c r="F57" i="2"/>
  <c r="J57" i="2"/>
  <c r="E58" i="2"/>
  <c r="I58" i="2"/>
  <c r="D59" i="2"/>
  <c r="H59" i="2"/>
  <c r="C60" i="2"/>
  <c r="G60" i="2"/>
  <c r="B61" i="2"/>
  <c r="F61" i="2"/>
  <c r="J61" i="2"/>
  <c r="E62" i="2"/>
  <c r="I62" i="2"/>
  <c r="D63" i="2"/>
  <c r="H63" i="2"/>
  <c r="C64" i="2"/>
  <c r="G64" i="2"/>
  <c r="B65" i="2"/>
  <c r="F65" i="2"/>
  <c r="J65" i="2"/>
  <c r="E66" i="2"/>
  <c r="I66" i="2"/>
  <c r="D67" i="2"/>
  <c r="H67" i="2"/>
  <c r="C68" i="2"/>
  <c r="H68" i="2"/>
  <c r="G69" i="2"/>
  <c r="F70" i="2"/>
  <c r="J74" i="2"/>
  <c r="I75" i="2"/>
  <c r="H76" i="2"/>
  <c r="G77" i="2"/>
  <c r="F78" i="2"/>
  <c r="J82" i="2"/>
  <c r="I83" i="2"/>
  <c r="H84" i="2"/>
  <c r="G85" i="2"/>
  <c r="F86" i="2"/>
  <c r="J90" i="2"/>
  <c r="I91" i="2"/>
  <c r="H92" i="2"/>
  <c r="G93" i="2"/>
  <c r="F94" i="2"/>
  <c r="J98" i="2"/>
  <c r="I99" i="2"/>
  <c r="G101" i="2"/>
  <c r="H100" i="2"/>
  <c r="F102" i="2"/>
  <c r="J106" i="2"/>
  <c r="I107" i="2"/>
  <c r="H108" i="2"/>
  <c r="G109" i="2"/>
  <c r="F110" i="2"/>
  <c r="J114" i="2"/>
  <c r="I115" i="2"/>
  <c r="H116" i="2"/>
  <c r="G117" i="2"/>
  <c r="F118" i="2"/>
  <c r="J122" i="2"/>
  <c r="I123" i="2"/>
  <c r="H124" i="2"/>
  <c r="G125" i="2"/>
  <c r="F126" i="2"/>
  <c r="J130" i="2"/>
  <c r="I131" i="2"/>
  <c r="H132" i="2"/>
  <c r="G133" i="2"/>
  <c r="F134" i="2"/>
  <c r="J138" i="2"/>
  <c r="I139" i="2"/>
  <c r="H140" i="2"/>
  <c r="G141" i="2"/>
  <c r="F142" i="2"/>
  <c r="J146" i="2"/>
  <c r="I147" i="2"/>
  <c r="H148" i="2"/>
  <c r="G149" i="2"/>
  <c r="F150" i="2"/>
  <c r="J154" i="2"/>
  <c r="H156" i="2"/>
  <c r="I155" i="2"/>
  <c r="G157" i="2"/>
  <c r="F158" i="2"/>
  <c r="J162" i="2"/>
  <c r="I163" i="2"/>
  <c r="H164" i="2"/>
  <c r="G165" i="2"/>
  <c r="F166" i="2"/>
  <c r="G169" i="2"/>
  <c r="J174" i="2"/>
  <c r="H176" i="2"/>
  <c r="F178" i="2"/>
  <c r="I183" i="2"/>
  <c r="G185" i="2"/>
  <c r="J190" i="2"/>
  <c r="H192" i="2"/>
  <c r="F194" i="2"/>
  <c r="I199" i="2"/>
  <c r="G201" i="2"/>
  <c r="J206" i="2"/>
  <c r="H208" i="2"/>
  <c r="F210" i="2"/>
  <c r="I215" i="2"/>
  <c r="G217" i="2"/>
  <c r="I219" i="2"/>
  <c r="G224" i="2"/>
  <c r="J226" i="2"/>
  <c r="H231" i="2"/>
  <c r="F236" i="2"/>
  <c r="I238" i="2"/>
  <c r="G243" i="2"/>
  <c r="J245" i="2"/>
  <c r="G248" i="2"/>
  <c r="H255" i="2"/>
  <c r="I262" i="2"/>
  <c r="J269" i="2"/>
  <c r="F273" i="2"/>
  <c r="G280" i="2"/>
  <c r="H287" i="2"/>
  <c r="I294" i="2"/>
  <c r="I303" i="2"/>
  <c r="G308" i="2"/>
  <c r="G320" i="2"/>
  <c r="I334" i="2"/>
  <c r="F377" i="2"/>
  <c r="G465" i="2"/>
  <c r="I168" i="2"/>
  <c r="H169" i="2"/>
  <c r="G170" i="2"/>
  <c r="F171" i="2"/>
  <c r="J171" i="2"/>
  <c r="I172" i="2"/>
  <c r="H173" i="2"/>
  <c r="G174" i="2"/>
  <c r="F175" i="2"/>
  <c r="J175" i="2"/>
  <c r="I176" i="2"/>
  <c r="H177" i="2"/>
  <c r="G178" i="2"/>
  <c r="F179" i="2"/>
  <c r="J179" i="2"/>
  <c r="I180" i="2"/>
  <c r="H181" i="2"/>
  <c r="G182" i="2"/>
  <c r="F183" i="2"/>
  <c r="J183" i="2"/>
  <c r="I184" i="2"/>
  <c r="H185" i="2"/>
  <c r="G186" i="2"/>
  <c r="F187" i="2"/>
  <c r="J187" i="2"/>
  <c r="I188" i="2"/>
  <c r="H189" i="2"/>
  <c r="G190" i="2"/>
  <c r="F191" i="2"/>
  <c r="J191" i="2"/>
  <c r="I192" i="2"/>
  <c r="H193" i="2"/>
  <c r="G194" i="2"/>
  <c r="F195" i="2"/>
  <c r="J195" i="2"/>
  <c r="I196" i="2"/>
  <c r="H197" i="2"/>
  <c r="G198" i="2"/>
  <c r="F199" i="2"/>
  <c r="J199" i="2"/>
  <c r="I200" i="2"/>
  <c r="H201" i="2"/>
  <c r="G202" i="2"/>
  <c r="F203" i="2"/>
  <c r="J203" i="2"/>
  <c r="I204" i="2"/>
  <c r="H205" i="2"/>
  <c r="G206" i="2"/>
  <c r="F207" i="2"/>
  <c r="J207" i="2"/>
  <c r="I208" i="2"/>
  <c r="H209" i="2"/>
  <c r="G210" i="2"/>
  <c r="F211" i="2"/>
  <c r="J211" i="2"/>
  <c r="I212" i="2"/>
  <c r="H213" i="2"/>
  <c r="G214" i="2"/>
  <c r="F215" i="2"/>
  <c r="J215" i="2"/>
  <c r="I216" i="2"/>
  <c r="H217" i="2"/>
  <c r="I218" i="2"/>
  <c r="G220" i="2"/>
  <c r="I221" i="2"/>
  <c r="J222" i="2"/>
  <c r="G223" i="2"/>
  <c r="H224" i="2"/>
  <c r="J225" i="2"/>
  <c r="F226" i="2"/>
  <c r="H227" i="2"/>
  <c r="J228" i="2"/>
  <c r="F229" i="2"/>
  <c r="H230" i="2"/>
  <c r="I231" i="2"/>
  <c r="F232" i="2"/>
  <c r="G233" i="2"/>
  <c r="I234" i="2"/>
  <c r="G236" i="2"/>
  <c r="I237" i="2"/>
  <c r="J238" i="2"/>
  <c r="G239" i="2"/>
  <c r="H240" i="2"/>
  <c r="J241" i="2"/>
  <c r="F242" i="2"/>
  <c r="H243" i="2"/>
  <c r="J244" i="2"/>
  <c r="F245" i="2"/>
  <c r="H246" i="2"/>
  <c r="I247" i="2"/>
  <c r="H248" i="2"/>
  <c r="G249" i="2"/>
  <c r="F250" i="2"/>
  <c r="J254" i="2"/>
  <c r="I255" i="2"/>
  <c r="H256" i="2"/>
  <c r="G257" i="2"/>
  <c r="F258" i="2"/>
  <c r="J262" i="2"/>
  <c r="I263" i="2"/>
  <c r="H264" i="2"/>
  <c r="G265" i="2"/>
  <c r="F266" i="2"/>
  <c r="J270" i="2"/>
  <c r="I271" i="2"/>
  <c r="H272" i="2"/>
  <c r="G273" i="2"/>
  <c r="F274" i="2"/>
  <c r="J278" i="2"/>
  <c r="I279" i="2"/>
  <c r="H280" i="2"/>
  <c r="G281" i="2"/>
  <c r="F282" i="2"/>
  <c r="J286" i="2"/>
  <c r="I287" i="2"/>
  <c r="H288" i="2"/>
  <c r="G289" i="2"/>
  <c r="F290" i="2"/>
  <c r="J294" i="2"/>
  <c r="I295" i="2"/>
  <c r="I296" i="2"/>
  <c r="G301" i="2"/>
  <c r="I302" i="2"/>
  <c r="J303" i="2"/>
  <c r="F307" i="2"/>
  <c r="H308" i="2"/>
  <c r="J313" i="2"/>
  <c r="F317" i="2"/>
  <c r="G324" i="2"/>
  <c r="H331" i="2"/>
  <c r="I338" i="2"/>
  <c r="J345" i="2"/>
  <c r="F349" i="2"/>
  <c r="G356" i="2"/>
  <c r="H363" i="2"/>
  <c r="I370" i="2"/>
  <c r="J377" i="2"/>
  <c r="J381" i="2"/>
  <c r="I387" i="2"/>
  <c r="J394" i="2"/>
  <c r="J409" i="2"/>
  <c r="H440" i="2"/>
  <c r="J68" i="2"/>
  <c r="I69" i="2"/>
  <c r="H70" i="2"/>
  <c r="G71" i="2"/>
  <c r="F72" i="2"/>
  <c r="J72" i="2"/>
  <c r="I73" i="2"/>
  <c r="H74" i="2"/>
  <c r="G75" i="2"/>
  <c r="F76" i="2"/>
  <c r="J76" i="2"/>
  <c r="I77" i="2"/>
  <c r="H78" i="2"/>
  <c r="G79" i="2"/>
  <c r="F80" i="2"/>
  <c r="J80" i="2"/>
  <c r="I81" i="2"/>
  <c r="H82" i="2"/>
  <c r="G83" i="2"/>
  <c r="F84" i="2"/>
  <c r="J84" i="2"/>
  <c r="I85" i="2"/>
  <c r="H86" i="2"/>
  <c r="G87" i="2"/>
  <c r="F88" i="2"/>
  <c r="J88" i="2"/>
  <c r="I89" i="2"/>
  <c r="H90" i="2"/>
  <c r="G91" i="2"/>
  <c r="F92" i="2"/>
  <c r="J92" i="2"/>
  <c r="I93" i="2"/>
  <c r="H94" i="2"/>
  <c r="G95" i="2"/>
  <c r="F96" i="2"/>
  <c r="J96" i="2"/>
  <c r="I97" i="2"/>
  <c r="H98" i="2"/>
  <c r="G99" i="2"/>
  <c r="F100" i="2"/>
  <c r="J100" i="2"/>
  <c r="I101" i="2"/>
  <c r="H102" i="2"/>
  <c r="G103" i="2"/>
  <c r="F104" i="2"/>
  <c r="J104" i="2"/>
  <c r="I105" i="2"/>
  <c r="H106" i="2"/>
  <c r="G107" i="2"/>
  <c r="F108" i="2"/>
  <c r="J108" i="2"/>
  <c r="I109" i="2"/>
  <c r="H110" i="2"/>
  <c r="G111" i="2"/>
  <c r="F112" i="2"/>
  <c r="J112" i="2"/>
  <c r="I113" i="2"/>
  <c r="H114" i="2"/>
  <c r="G115" i="2"/>
  <c r="F116" i="2"/>
  <c r="J116" i="2"/>
  <c r="I117" i="2"/>
  <c r="H118" i="2"/>
  <c r="G119" i="2"/>
  <c r="F120" i="2"/>
  <c r="J120" i="2"/>
  <c r="I121" i="2"/>
  <c r="H122" i="2"/>
  <c r="G123" i="2"/>
  <c r="F124" i="2"/>
  <c r="J124" i="2"/>
  <c r="I125" i="2"/>
  <c r="H126" i="2"/>
  <c r="G127" i="2"/>
  <c r="F128" i="2"/>
  <c r="J128" i="2"/>
  <c r="I129" i="2"/>
  <c r="H130" i="2"/>
  <c r="G131" i="2"/>
  <c r="F132" i="2"/>
  <c r="J132" i="2"/>
  <c r="I133" i="2"/>
  <c r="H134" i="2"/>
  <c r="G135" i="2"/>
  <c r="F136" i="2"/>
  <c r="J136" i="2"/>
  <c r="I137" i="2"/>
  <c r="H138" i="2"/>
  <c r="G139" i="2"/>
  <c r="F140" i="2"/>
  <c r="J140" i="2"/>
  <c r="I141" i="2"/>
  <c r="H142" i="2"/>
  <c r="G143" i="2"/>
  <c r="F144" i="2"/>
  <c r="J144" i="2"/>
  <c r="I145" i="2"/>
  <c r="H146" i="2"/>
  <c r="G147" i="2"/>
  <c r="F148" i="2"/>
  <c r="J148" i="2"/>
  <c r="I149" i="2"/>
  <c r="H150" i="2"/>
  <c r="G151" i="2"/>
  <c r="F152" i="2"/>
  <c r="J152" i="2"/>
  <c r="I153" i="2"/>
  <c r="H154" i="2"/>
  <c r="G155" i="2"/>
  <c r="F156" i="2"/>
  <c r="J156" i="2"/>
  <c r="I157" i="2"/>
  <c r="H158" i="2"/>
  <c r="G159" i="2"/>
  <c r="F160" i="2"/>
  <c r="J160" i="2"/>
  <c r="I161" i="2"/>
  <c r="H162" i="2"/>
  <c r="G163" i="2"/>
  <c r="F164" i="2"/>
  <c r="J164" i="2"/>
  <c r="I165" i="2"/>
  <c r="H166" i="2"/>
  <c r="G167" i="2"/>
  <c r="F168" i="2"/>
  <c r="J168" i="2"/>
  <c r="I169" i="2"/>
  <c r="H170" i="2"/>
  <c r="G171" i="2"/>
  <c r="F172" i="2"/>
  <c r="J172" i="2"/>
  <c r="I173" i="2"/>
  <c r="H174" i="2"/>
  <c r="G175" i="2"/>
  <c r="F176" i="2"/>
  <c r="J176" i="2"/>
  <c r="I177" i="2"/>
  <c r="H178" i="2"/>
  <c r="G179" i="2"/>
  <c r="F180" i="2"/>
  <c r="J180" i="2"/>
  <c r="I181" i="2"/>
  <c r="H182" i="2"/>
  <c r="G183" i="2"/>
  <c r="F184" i="2"/>
  <c r="J184" i="2"/>
  <c r="I185" i="2"/>
  <c r="H186" i="2"/>
  <c r="G187" i="2"/>
  <c r="F188" i="2"/>
  <c r="J188" i="2"/>
  <c r="I189" i="2"/>
  <c r="H190" i="2"/>
  <c r="G191" i="2"/>
  <c r="F192" i="2"/>
  <c r="J192" i="2"/>
  <c r="I193" i="2"/>
  <c r="H194" i="2"/>
  <c r="G195" i="2"/>
  <c r="F196" i="2"/>
  <c r="J196" i="2"/>
  <c r="I197" i="2"/>
  <c r="H198" i="2"/>
  <c r="G199" i="2"/>
  <c r="F200" i="2"/>
  <c r="J200" i="2"/>
  <c r="I201" i="2"/>
  <c r="H202" i="2"/>
  <c r="G203" i="2"/>
  <c r="F204" i="2"/>
  <c r="J204" i="2"/>
  <c r="I205" i="2"/>
  <c r="H206" i="2"/>
  <c r="G207" i="2"/>
  <c r="F208" i="2"/>
  <c r="J208" i="2"/>
  <c r="I209" i="2"/>
  <c r="H210" i="2"/>
  <c r="G211" i="2"/>
  <c r="F212" i="2"/>
  <c r="J212" i="2"/>
  <c r="I213" i="2"/>
  <c r="H214" i="2"/>
  <c r="G215" i="2"/>
  <c r="F216" i="2"/>
  <c r="J216" i="2"/>
  <c r="I217" i="2"/>
  <c r="J218" i="2"/>
  <c r="G219" i="2"/>
  <c r="H220" i="2"/>
  <c r="J221" i="2"/>
  <c r="F222" i="2"/>
  <c r="H223" i="2"/>
  <c r="J224" i="2"/>
  <c r="F225" i="2"/>
  <c r="H226" i="2"/>
  <c r="I227" i="2"/>
  <c r="F228" i="2"/>
  <c r="G229" i="2"/>
  <c r="I230" i="2"/>
  <c r="G232" i="2"/>
  <c r="I233" i="2"/>
  <c r="J234" i="2"/>
  <c r="G235" i="2"/>
  <c r="H236" i="2"/>
  <c r="J237" i="2"/>
  <c r="F238" i="2"/>
  <c r="H239" i="2"/>
  <c r="J240" i="2"/>
  <c r="F241" i="2"/>
  <c r="H242" i="2"/>
  <c r="I243" i="2"/>
  <c r="F244" i="2"/>
  <c r="G245" i="2"/>
  <c r="I246" i="2"/>
  <c r="J249" i="2"/>
  <c r="I250" i="2"/>
  <c r="H251" i="2"/>
  <c r="G252" i="2"/>
  <c r="F253" i="2"/>
  <c r="J257" i="2"/>
  <c r="I258" i="2"/>
  <c r="H259" i="2"/>
  <c r="G260" i="2"/>
  <c r="F261" i="2"/>
  <c r="J265" i="2"/>
  <c r="I266" i="2"/>
  <c r="H267" i="2"/>
  <c r="G268" i="2"/>
  <c r="F269" i="2"/>
  <c r="J273" i="2"/>
  <c r="I274" i="2"/>
  <c r="H275" i="2"/>
  <c r="G276" i="2"/>
  <c r="F277" i="2"/>
  <c r="J281" i="2"/>
  <c r="I282" i="2"/>
  <c r="H283" i="2"/>
  <c r="G284" i="2"/>
  <c r="F285" i="2"/>
  <c r="J289" i="2"/>
  <c r="I290" i="2"/>
  <c r="H291" i="2"/>
  <c r="G292" i="2"/>
  <c r="F293" i="2"/>
  <c r="F298" i="2"/>
  <c r="H299" i="2"/>
  <c r="I300" i="2"/>
  <c r="G305" i="2"/>
  <c r="I306" i="2"/>
  <c r="J307" i="2"/>
  <c r="H311" i="2"/>
  <c r="I318" i="2"/>
  <c r="J325" i="2"/>
  <c r="F329" i="2"/>
  <c r="G336" i="2"/>
  <c r="H343" i="2"/>
  <c r="I350" i="2"/>
  <c r="J357" i="2"/>
  <c r="F361" i="2"/>
  <c r="G368" i="2"/>
  <c r="H375" i="2"/>
  <c r="H383" i="2"/>
  <c r="F390" i="2"/>
  <c r="G397" i="2"/>
  <c r="H404" i="2"/>
  <c r="F429" i="2"/>
  <c r="I479" i="2"/>
  <c r="G68" i="2"/>
  <c r="B69" i="2"/>
  <c r="F69" i="2"/>
  <c r="J69" i="2"/>
  <c r="E70" i="2"/>
  <c r="I70" i="2"/>
  <c r="D71" i="2"/>
  <c r="H71" i="2"/>
  <c r="C72" i="2"/>
  <c r="G72" i="2"/>
  <c r="B73" i="2"/>
  <c r="F73" i="2"/>
  <c r="J73" i="2"/>
  <c r="E74" i="2"/>
  <c r="I74" i="2"/>
  <c r="D75" i="2"/>
  <c r="H75" i="2"/>
  <c r="C76" i="2"/>
  <c r="G76" i="2"/>
  <c r="B77" i="2"/>
  <c r="F77" i="2"/>
  <c r="J77" i="2"/>
  <c r="E78" i="2"/>
  <c r="I78" i="2"/>
  <c r="D79" i="2"/>
  <c r="H79" i="2"/>
  <c r="C80" i="2"/>
  <c r="G80" i="2"/>
  <c r="B81" i="2"/>
  <c r="F81" i="2"/>
  <c r="J81" i="2"/>
  <c r="E82" i="2"/>
  <c r="I82" i="2"/>
  <c r="D83" i="2"/>
  <c r="H83" i="2"/>
  <c r="C84" i="2"/>
  <c r="G84" i="2"/>
  <c r="B85" i="2"/>
  <c r="F85" i="2"/>
  <c r="J85" i="2"/>
  <c r="E86" i="2"/>
  <c r="I86" i="2"/>
  <c r="D87" i="2"/>
  <c r="H87" i="2"/>
  <c r="C88" i="2"/>
  <c r="G88" i="2"/>
  <c r="B89" i="2"/>
  <c r="F89" i="2"/>
  <c r="J89" i="2"/>
  <c r="E90" i="2"/>
  <c r="I90" i="2"/>
  <c r="D91" i="2"/>
  <c r="H91" i="2"/>
  <c r="C92" i="2"/>
  <c r="G92" i="2"/>
  <c r="B93" i="2"/>
  <c r="F93" i="2"/>
  <c r="J93" i="2"/>
  <c r="E94" i="2"/>
  <c r="I94" i="2"/>
  <c r="D95" i="2"/>
  <c r="H95" i="2"/>
  <c r="C96" i="2"/>
  <c r="G96" i="2"/>
  <c r="B97" i="2"/>
  <c r="F97" i="2"/>
  <c r="J97" i="2"/>
  <c r="E98" i="2"/>
  <c r="I98" i="2"/>
  <c r="D99" i="2"/>
  <c r="H99" i="2"/>
  <c r="C100" i="2"/>
  <c r="G100" i="2"/>
  <c r="B101" i="2"/>
  <c r="F101" i="2"/>
  <c r="J101" i="2"/>
  <c r="E102" i="2"/>
  <c r="I102" i="2"/>
  <c r="D103" i="2"/>
  <c r="H103" i="2"/>
  <c r="C104" i="2"/>
  <c r="G104" i="2"/>
  <c r="B105" i="2"/>
  <c r="F105" i="2"/>
  <c r="J105" i="2"/>
  <c r="E106" i="2"/>
  <c r="I106" i="2"/>
  <c r="D107" i="2"/>
  <c r="H107" i="2"/>
  <c r="C108" i="2"/>
  <c r="G108" i="2"/>
  <c r="B109" i="2"/>
  <c r="F109" i="2"/>
  <c r="J109" i="2"/>
  <c r="E110" i="2"/>
  <c r="I110" i="2"/>
  <c r="D111" i="2"/>
  <c r="H111" i="2"/>
  <c r="C112" i="2"/>
  <c r="G112" i="2"/>
  <c r="B113" i="2"/>
  <c r="F113" i="2"/>
  <c r="J113" i="2"/>
  <c r="E114" i="2"/>
  <c r="I114" i="2"/>
  <c r="D115" i="2"/>
  <c r="H115" i="2"/>
  <c r="C116" i="2"/>
  <c r="G116" i="2"/>
  <c r="B117" i="2"/>
  <c r="F117" i="2"/>
  <c r="J117" i="2"/>
  <c r="E118" i="2"/>
  <c r="I118" i="2"/>
  <c r="D119" i="2"/>
  <c r="H119" i="2"/>
  <c r="C120" i="2"/>
  <c r="G120" i="2"/>
  <c r="B121" i="2"/>
  <c r="F121" i="2"/>
  <c r="J121" i="2"/>
  <c r="E122" i="2"/>
  <c r="I122" i="2"/>
  <c r="D123" i="2"/>
  <c r="H123" i="2"/>
  <c r="C124" i="2"/>
  <c r="G124" i="2"/>
  <c r="B125" i="2"/>
  <c r="F125" i="2"/>
  <c r="J125" i="2"/>
  <c r="E126" i="2"/>
  <c r="I126" i="2"/>
  <c r="D127" i="2"/>
  <c r="H127" i="2"/>
  <c r="C128" i="2"/>
  <c r="G128" i="2"/>
  <c r="B129" i="2"/>
  <c r="F129" i="2"/>
  <c r="J129" i="2"/>
  <c r="E130" i="2"/>
  <c r="I130" i="2"/>
  <c r="D131" i="2"/>
  <c r="H131" i="2"/>
  <c r="C132" i="2"/>
  <c r="G132" i="2"/>
  <c r="B133" i="2"/>
  <c r="F133" i="2"/>
  <c r="J133" i="2"/>
  <c r="E134" i="2"/>
  <c r="I134" i="2"/>
  <c r="D135" i="2"/>
  <c r="H135" i="2"/>
  <c r="C136" i="2"/>
  <c r="G136" i="2"/>
  <c r="B137" i="2"/>
  <c r="F137" i="2"/>
  <c r="J137" i="2"/>
  <c r="E138" i="2"/>
  <c r="I138" i="2"/>
  <c r="D139" i="2"/>
  <c r="H139" i="2"/>
  <c r="C140" i="2"/>
  <c r="G140" i="2"/>
  <c r="B141" i="2"/>
  <c r="F141" i="2"/>
  <c r="J141" i="2"/>
  <c r="E142" i="2"/>
  <c r="I142" i="2"/>
  <c r="D143" i="2"/>
  <c r="H143" i="2"/>
  <c r="C144" i="2"/>
  <c r="G144" i="2"/>
  <c r="B145" i="2"/>
  <c r="F145" i="2"/>
  <c r="J145" i="2"/>
  <c r="E146" i="2"/>
  <c r="I146" i="2"/>
  <c r="D147" i="2"/>
  <c r="H147" i="2"/>
  <c r="C148" i="2"/>
  <c r="G148" i="2"/>
  <c r="B149" i="2"/>
  <c r="F149" i="2"/>
  <c r="J149" i="2"/>
  <c r="E150" i="2"/>
  <c r="I150" i="2"/>
  <c r="D151" i="2"/>
  <c r="H151" i="2"/>
  <c r="C152" i="2"/>
  <c r="G152" i="2"/>
  <c r="B153" i="2"/>
  <c r="F153" i="2"/>
  <c r="J153" i="2"/>
  <c r="E154" i="2"/>
  <c r="I154" i="2"/>
  <c r="D155" i="2"/>
  <c r="H155" i="2"/>
  <c r="C156" i="2"/>
  <c r="G156" i="2"/>
  <c r="B157" i="2"/>
  <c r="F157" i="2"/>
  <c r="J157" i="2"/>
  <c r="E158" i="2"/>
  <c r="I158" i="2"/>
  <c r="D159" i="2"/>
  <c r="H159" i="2"/>
  <c r="C160" i="2"/>
  <c r="G160" i="2"/>
  <c r="B161" i="2"/>
  <c r="F161" i="2"/>
  <c r="J161" i="2"/>
  <c r="E162" i="2"/>
  <c r="I162" i="2"/>
  <c r="D163" i="2"/>
  <c r="H163" i="2"/>
  <c r="C164" i="2"/>
  <c r="G164" i="2"/>
  <c r="B165" i="2"/>
  <c r="F165" i="2"/>
  <c r="J165" i="2"/>
  <c r="E166" i="2"/>
  <c r="I166" i="2"/>
  <c r="D167" i="2"/>
  <c r="H167" i="2"/>
  <c r="C168" i="2"/>
  <c r="G168" i="2"/>
  <c r="B169" i="2"/>
  <c r="F169" i="2"/>
  <c r="J169" i="2"/>
  <c r="E170" i="2"/>
  <c r="I170" i="2"/>
  <c r="D171" i="2"/>
  <c r="H171" i="2"/>
  <c r="C172" i="2"/>
  <c r="G172" i="2"/>
  <c r="B173" i="2"/>
  <c r="F173" i="2"/>
  <c r="J173" i="2"/>
  <c r="E174" i="2"/>
  <c r="I174" i="2"/>
  <c r="D175" i="2"/>
  <c r="H175" i="2"/>
  <c r="C176" i="2"/>
  <c r="G176" i="2"/>
  <c r="B177" i="2"/>
  <c r="F177" i="2"/>
  <c r="J177" i="2"/>
  <c r="E178" i="2"/>
  <c r="I178" i="2"/>
  <c r="D179" i="2"/>
  <c r="H179" i="2"/>
  <c r="C180" i="2"/>
  <c r="G180" i="2"/>
  <c r="B181" i="2"/>
  <c r="F181" i="2"/>
  <c r="J181" i="2"/>
  <c r="E182" i="2"/>
  <c r="I182" i="2"/>
  <c r="D183" i="2"/>
  <c r="H183" i="2"/>
  <c r="C184" i="2"/>
  <c r="G184" i="2"/>
  <c r="B185" i="2"/>
  <c r="F185" i="2"/>
  <c r="J185" i="2"/>
  <c r="E186" i="2"/>
  <c r="I186" i="2"/>
  <c r="D187" i="2"/>
  <c r="H187" i="2"/>
  <c r="C188" i="2"/>
  <c r="G188" i="2"/>
  <c r="B189" i="2"/>
  <c r="F189" i="2"/>
  <c r="J189" i="2"/>
  <c r="E190" i="2"/>
  <c r="I190" i="2"/>
  <c r="D191" i="2"/>
  <c r="H191" i="2"/>
  <c r="C192" i="2"/>
  <c r="G192" i="2"/>
  <c r="B193" i="2"/>
  <c r="F193" i="2"/>
  <c r="J193" i="2"/>
  <c r="E194" i="2"/>
  <c r="I194" i="2"/>
  <c r="D195" i="2"/>
  <c r="H195" i="2"/>
  <c r="C196" i="2"/>
  <c r="G196" i="2"/>
  <c r="B197" i="2"/>
  <c r="F197" i="2"/>
  <c r="J197" i="2"/>
  <c r="E198" i="2"/>
  <c r="I198" i="2"/>
  <c r="D199" i="2"/>
  <c r="H199" i="2"/>
  <c r="C200" i="2"/>
  <c r="G200" i="2"/>
  <c r="B201" i="2"/>
  <c r="F201" i="2"/>
  <c r="J201" i="2"/>
  <c r="E202" i="2"/>
  <c r="I202" i="2"/>
  <c r="D203" i="2"/>
  <c r="H203" i="2"/>
  <c r="C204" i="2"/>
  <c r="G204" i="2"/>
  <c r="B205" i="2"/>
  <c r="F205" i="2"/>
  <c r="J205" i="2"/>
  <c r="E206" i="2"/>
  <c r="I206" i="2"/>
  <c r="D207" i="2"/>
  <c r="H207" i="2"/>
  <c r="C208" i="2"/>
  <c r="G208" i="2"/>
  <c r="B209" i="2"/>
  <c r="F209" i="2"/>
  <c r="J209" i="2"/>
  <c r="E210" i="2"/>
  <c r="I210" i="2"/>
  <c r="D211" i="2"/>
  <c r="H211" i="2"/>
  <c r="C212" i="2"/>
  <c r="G212" i="2"/>
  <c r="B213" i="2"/>
  <c r="F213" i="2"/>
  <c r="J213" i="2"/>
  <c r="E214" i="2"/>
  <c r="I214" i="2"/>
  <c r="D215" i="2"/>
  <c r="H215" i="2"/>
  <c r="C216" i="2"/>
  <c r="G216" i="2"/>
  <c r="B217" i="2"/>
  <c r="F217" i="2"/>
  <c r="J217" i="2"/>
  <c r="F218" i="2"/>
  <c r="H219" i="2"/>
  <c r="J220" i="2"/>
  <c r="F221" i="2"/>
  <c r="H222" i="2"/>
  <c r="I223" i="2"/>
  <c r="F224" i="2"/>
  <c r="G225" i="2"/>
  <c r="I226" i="2"/>
  <c r="G228" i="2"/>
  <c r="I229" i="2"/>
  <c r="G231" i="2"/>
  <c r="J230" i="2"/>
  <c r="H232" i="2"/>
  <c r="J233" i="2"/>
  <c r="F234" i="2"/>
  <c r="H235" i="2"/>
  <c r="J236" i="2"/>
  <c r="F237" i="2"/>
  <c r="H238" i="2"/>
  <c r="I239" i="2"/>
  <c r="F240" i="2"/>
  <c r="G241" i="2"/>
  <c r="I242" i="2"/>
  <c r="G244" i="2"/>
  <c r="I245" i="2"/>
  <c r="J246" i="2"/>
  <c r="G247" i="2"/>
  <c r="J250" i="2"/>
  <c r="I251" i="2"/>
  <c r="H252" i="2"/>
  <c r="G253" i="2"/>
  <c r="F254" i="2"/>
  <c r="J258" i="2"/>
  <c r="I259" i="2"/>
  <c r="H260" i="2"/>
  <c r="G261" i="2"/>
  <c r="F262" i="2"/>
  <c r="J266" i="2"/>
  <c r="I267" i="2"/>
  <c r="H268" i="2"/>
  <c r="G269" i="2"/>
  <c r="F270" i="2"/>
  <c r="J274" i="2"/>
  <c r="I275" i="2"/>
  <c r="H276" i="2"/>
  <c r="G277" i="2"/>
  <c r="F278" i="2"/>
  <c r="J282" i="2"/>
  <c r="I283" i="2"/>
  <c r="H284" i="2"/>
  <c r="G285" i="2"/>
  <c r="F286" i="2"/>
  <c r="J290" i="2"/>
  <c r="I291" i="2"/>
  <c r="H292" i="2"/>
  <c r="G293" i="2"/>
  <c r="F294" i="2"/>
  <c r="F297" i="2"/>
  <c r="G298" i="2"/>
  <c r="I299" i="2"/>
  <c r="G304" i="2"/>
  <c r="H305" i="2"/>
  <c r="J306" i="2"/>
  <c r="H315" i="2"/>
  <c r="I322" i="2"/>
  <c r="J329" i="2"/>
  <c r="F333" i="2"/>
  <c r="G340" i="2"/>
  <c r="H347" i="2"/>
  <c r="I354" i="2"/>
  <c r="J361" i="2"/>
  <c r="F365" i="2"/>
  <c r="G372" i="2"/>
  <c r="H379" i="2"/>
  <c r="F398" i="2"/>
  <c r="G405" i="2"/>
  <c r="J454" i="2"/>
  <c r="C218" i="2"/>
  <c r="G218" i="2"/>
  <c r="B219" i="2"/>
  <c r="F219" i="2"/>
  <c r="J219" i="2"/>
  <c r="E220" i="2"/>
  <c r="I220" i="2"/>
  <c r="D221" i="2"/>
  <c r="H221" i="2"/>
  <c r="C222" i="2"/>
  <c r="G222" i="2"/>
  <c r="B223" i="2"/>
  <c r="F223" i="2"/>
  <c r="J223" i="2"/>
  <c r="E224" i="2"/>
  <c r="I224" i="2"/>
  <c r="D225" i="2"/>
  <c r="H225" i="2"/>
  <c r="C226" i="2"/>
  <c r="G226" i="2"/>
  <c r="B227" i="2"/>
  <c r="F227" i="2"/>
  <c r="J227" i="2"/>
  <c r="E228" i="2"/>
  <c r="I228" i="2"/>
  <c r="D229" i="2"/>
  <c r="H229" i="2"/>
  <c r="C230" i="2"/>
  <c r="G230" i="2"/>
  <c r="B231" i="2"/>
  <c r="F231" i="2"/>
  <c r="J231" i="2"/>
  <c r="E232" i="2"/>
  <c r="I232" i="2"/>
  <c r="D233" i="2"/>
  <c r="H233" i="2"/>
  <c r="C234" i="2"/>
  <c r="G234" i="2"/>
  <c r="B235" i="2"/>
  <c r="F235" i="2"/>
  <c r="J235" i="2"/>
  <c r="E236" i="2"/>
  <c r="I236" i="2"/>
  <c r="D237" i="2"/>
  <c r="H237" i="2"/>
  <c r="C238" i="2"/>
  <c r="G238" i="2"/>
  <c r="B239" i="2"/>
  <c r="F239" i="2"/>
  <c r="J239" i="2"/>
  <c r="E240" i="2"/>
  <c r="I240" i="2"/>
  <c r="D241" i="2"/>
  <c r="H241" i="2"/>
  <c r="C242" i="2"/>
  <c r="G242" i="2"/>
  <c r="B243" i="2"/>
  <c r="F243" i="2"/>
  <c r="J243" i="2"/>
  <c r="E244" i="2"/>
  <c r="I244" i="2"/>
  <c r="D245" i="2"/>
  <c r="H245" i="2"/>
  <c r="C246" i="2"/>
  <c r="G246" i="2"/>
  <c r="B247" i="2"/>
  <c r="F247" i="2"/>
  <c r="J247" i="2"/>
  <c r="I248" i="2"/>
  <c r="H249" i="2"/>
  <c r="G250" i="2"/>
  <c r="F251" i="2"/>
  <c r="J251" i="2"/>
  <c r="I252" i="2"/>
  <c r="H253" i="2"/>
  <c r="G254" i="2"/>
  <c r="F255" i="2"/>
  <c r="J255" i="2"/>
  <c r="I256" i="2"/>
  <c r="H257" i="2"/>
  <c r="G258" i="2"/>
  <c r="F259" i="2"/>
  <c r="J259" i="2"/>
  <c r="I260" i="2"/>
  <c r="H261" i="2"/>
  <c r="G262" i="2"/>
  <c r="F263" i="2"/>
  <c r="J263" i="2"/>
  <c r="I264" i="2"/>
  <c r="H265" i="2"/>
  <c r="G266" i="2"/>
  <c r="F267" i="2"/>
  <c r="J267" i="2"/>
  <c r="I268" i="2"/>
  <c r="H269" i="2"/>
  <c r="G270" i="2"/>
  <c r="F271" i="2"/>
  <c r="J271" i="2"/>
  <c r="I272" i="2"/>
  <c r="H273" i="2"/>
  <c r="G274" i="2"/>
  <c r="F275" i="2"/>
  <c r="J275" i="2"/>
  <c r="I276" i="2"/>
  <c r="H277" i="2"/>
  <c r="G278" i="2"/>
  <c r="F279" i="2"/>
  <c r="J279" i="2"/>
  <c r="I280" i="2"/>
  <c r="H281" i="2"/>
  <c r="G282" i="2"/>
  <c r="F283" i="2"/>
  <c r="J283" i="2"/>
  <c r="I284" i="2"/>
  <c r="H285" i="2"/>
  <c r="G286" i="2"/>
  <c r="F287" i="2"/>
  <c r="J287" i="2"/>
  <c r="I288" i="2"/>
  <c r="H289" i="2"/>
  <c r="G290" i="2"/>
  <c r="F291" i="2"/>
  <c r="J291" i="2"/>
  <c r="I292" i="2"/>
  <c r="H293" i="2"/>
  <c r="G294" i="2"/>
  <c r="F295" i="2"/>
  <c r="J295" i="2"/>
  <c r="G297" i="2"/>
  <c r="I298" i="2"/>
  <c r="J299" i="2"/>
  <c r="G300" i="2"/>
  <c r="H301" i="2"/>
  <c r="J302" i="2"/>
  <c r="F303" i="2"/>
  <c r="H304" i="2"/>
  <c r="J305" i="2"/>
  <c r="F306" i="2"/>
  <c r="H307" i="2"/>
  <c r="I308" i="2"/>
  <c r="F309" i="2"/>
  <c r="I310" i="2"/>
  <c r="G312" i="2"/>
  <c r="J317" i="2"/>
  <c r="H319" i="2"/>
  <c r="F321" i="2"/>
  <c r="I326" i="2"/>
  <c r="G328" i="2"/>
  <c r="J333" i="2"/>
  <c r="H335" i="2"/>
  <c r="F337" i="2"/>
  <c r="I342" i="2"/>
  <c r="G344" i="2"/>
  <c r="J349" i="2"/>
  <c r="H351" i="2"/>
  <c r="F353" i="2"/>
  <c r="I358" i="2"/>
  <c r="G360" i="2"/>
  <c r="J365" i="2"/>
  <c r="H367" i="2"/>
  <c r="F369" i="2"/>
  <c r="I374" i="2"/>
  <c r="G376" i="2"/>
  <c r="F382" i="2"/>
  <c r="H388" i="2"/>
  <c r="I395" i="2"/>
  <c r="J402" i="2"/>
  <c r="F406" i="2"/>
  <c r="H411" i="2"/>
  <c r="I418" i="2"/>
  <c r="J425" i="2"/>
  <c r="F458" i="2"/>
  <c r="H472" i="2"/>
  <c r="G507" i="2"/>
  <c r="B248" i="2"/>
  <c r="F248" i="2"/>
  <c r="J248" i="2"/>
  <c r="E249" i="2"/>
  <c r="I249" i="2"/>
  <c r="D250" i="2"/>
  <c r="H250" i="2"/>
  <c r="C251" i="2"/>
  <c r="G251" i="2"/>
  <c r="B252" i="2"/>
  <c r="F252" i="2"/>
  <c r="J252" i="2"/>
  <c r="E253" i="2"/>
  <c r="I253" i="2"/>
  <c r="D254" i="2"/>
  <c r="H254" i="2"/>
  <c r="C255" i="2"/>
  <c r="G255" i="2"/>
  <c r="B256" i="2"/>
  <c r="F256" i="2"/>
  <c r="J256" i="2"/>
  <c r="E257" i="2"/>
  <c r="I257" i="2"/>
  <c r="D258" i="2"/>
  <c r="H258" i="2"/>
  <c r="C259" i="2"/>
  <c r="G259" i="2"/>
  <c r="B260" i="2"/>
  <c r="F260" i="2"/>
  <c r="J260" i="2"/>
  <c r="E261" i="2"/>
  <c r="I261" i="2"/>
  <c r="D262" i="2"/>
  <c r="H262" i="2"/>
  <c r="C263" i="2"/>
  <c r="G263" i="2"/>
  <c r="B264" i="2"/>
  <c r="F264" i="2"/>
  <c r="J264" i="2"/>
  <c r="E265" i="2"/>
  <c r="I265" i="2"/>
  <c r="D266" i="2"/>
  <c r="H266" i="2"/>
  <c r="C267" i="2"/>
  <c r="G267" i="2"/>
  <c r="B268" i="2"/>
  <c r="F268" i="2"/>
  <c r="J268" i="2"/>
  <c r="E269" i="2"/>
  <c r="I269" i="2"/>
  <c r="D270" i="2"/>
  <c r="H270" i="2"/>
  <c r="C271" i="2"/>
  <c r="G271" i="2"/>
  <c r="B272" i="2"/>
  <c r="F272" i="2"/>
  <c r="J272" i="2"/>
  <c r="E273" i="2"/>
  <c r="I273" i="2"/>
  <c r="D274" i="2"/>
  <c r="H274" i="2"/>
  <c r="C275" i="2"/>
  <c r="G275" i="2"/>
  <c r="B276" i="2"/>
  <c r="F276" i="2"/>
  <c r="J276" i="2"/>
  <c r="E277" i="2"/>
  <c r="I277" i="2"/>
  <c r="D278" i="2"/>
  <c r="H278" i="2"/>
  <c r="C279" i="2"/>
  <c r="G279" i="2"/>
  <c r="B280" i="2"/>
  <c r="F280" i="2"/>
  <c r="J280" i="2"/>
  <c r="E281" i="2"/>
  <c r="I281" i="2"/>
  <c r="D282" i="2"/>
  <c r="H282" i="2"/>
  <c r="C283" i="2"/>
  <c r="G283" i="2"/>
  <c r="B284" i="2"/>
  <c r="F284" i="2"/>
  <c r="J284" i="2"/>
  <c r="E285" i="2"/>
  <c r="I285" i="2"/>
  <c r="D286" i="2"/>
  <c r="H286" i="2"/>
  <c r="C287" i="2"/>
  <c r="G287" i="2"/>
  <c r="B288" i="2"/>
  <c r="F288" i="2"/>
  <c r="J288" i="2"/>
  <c r="E289" i="2"/>
  <c r="I289" i="2"/>
  <c r="D290" i="2"/>
  <c r="H290" i="2"/>
  <c r="C291" i="2"/>
  <c r="G291" i="2"/>
  <c r="B292" i="2"/>
  <c r="F292" i="2"/>
  <c r="J292" i="2"/>
  <c r="E293" i="2"/>
  <c r="I293" i="2"/>
  <c r="D294" i="2"/>
  <c r="H294" i="2"/>
  <c r="C295" i="2"/>
  <c r="G295" i="2"/>
  <c r="B296" i="2"/>
  <c r="G296" i="2"/>
  <c r="H297" i="2"/>
  <c r="J298" i="2"/>
  <c r="F299" i="2"/>
  <c r="H300" i="2"/>
  <c r="J301" i="2"/>
  <c r="F302" i="2"/>
  <c r="H303" i="2"/>
  <c r="I304" i="2"/>
  <c r="F305" i="2"/>
  <c r="G306" i="2"/>
  <c r="I307" i="2"/>
  <c r="H309" i="2"/>
  <c r="I314" i="2"/>
  <c r="G316" i="2"/>
  <c r="J321" i="2"/>
  <c r="H323" i="2"/>
  <c r="F325" i="2"/>
  <c r="I330" i="2"/>
  <c r="G332" i="2"/>
  <c r="J337" i="2"/>
  <c r="H339" i="2"/>
  <c r="F341" i="2"/>
  <c r="I346" i="2"/>
  <c r="G348" i="2"/>
  <c r="J353" i="2"/>
  <c r="H355" i="2"/>
  <c r="F357" i="2"/>
  <c r="I362" i="2"/>
  <c r="G364" i="2"/>
  <c r="J369" i="2"/>
  <c r="H371" i="2"/>
  <c r="F373" i="2"/>
  <c r="I378" i="2"/>
  <c r="H380" i="2"/>
  <c r="G389" i="2"/>
  <c r="H396" i="2"/>
  <c r="I403" i="2"/>
  <c r="F413" i="2"/>
  <c r="G420" i="2"/>
  <c r="H427" i="2"/>
  <c r="J434" i="2"/>
  <c r="I447" i="2"/>
  <c r="G309" i="2"/>
  <c r="F310" i="2"/>
  <c r="J310" i="2"/>
  <c r="I311" i="2"/>
  <c r="H312" i="2"/>
  <c r="G313" i="2"/>
  <c r="F314" i="2"/>
  <c r="J314" i="2"/>
  <c r="I315" i="2"/>
  <c r="H316" i="2"/>
  <c r="G317" i="2"/>
  <c r="F318" i="2"/>
  <c r="J318" i="2"/>
  <c r="I319" i="2"/>
  <c r="H320" i="2"/>
  <c r="G321" i="2"/>
  <c r="F322" i="2"/>
  <c r="J322" i="2"/>
  <c r="I323" i="2"/>
  <c r="H324" i="2"/>
  <c r="G325" i="2"/>
  <c r="F326" i="2"/>
  <c r="J326" i="2"/>
  <c r="I327" i="2"/>
  <c r="H328" i="2"/>
  <c r="G329" i="2"/>
  <c r="F330" i="2"/>
  <c r="J330" i="2"/>
  <c r="I331" i="2"/>
  <c r="H332" i="2"/>
  <c r="G333" i="2"/>
  <c r="F334" i="2"/>
  <c r="J334" i="2"/>
  <c r="I335" i="2"/>
  <c r="H336" i="2"/>
  <c r="G337" i="2"/>
  <c r="F338" i="2"/>
  <c r="J338" i="2"/>
  <c r="I339" i="2"/>
  <c r="H340" i="2"/>
  <c r="G341" i="2"/>
  <c r="F342" i="2"/>
  <c r="J342" i="2"/>
  <c r="I343" i="2"/>
  <c r="H344" i="2"/>
  <c r="G345" i="2"/>
  <c r="F346" i="2"/>
  <c r="J346" i="2"/>
  <c r="I347" i="2"/>
  <c r="H348" i="2"/>
  <c r="G349" i="2"/>
  <c r="F350" i="2"/>
  <c r="J350" i="2"/>
  <c r="I351" i="2"/>
  <c r="H352" i="2"/>
  <c r="G353" i="2"/>
  <c r="F354" i="2"/>
  <c r="J354" i="2"/>
  <c r="I355" i="2"/>
  <c r="H356" i="2"/>
  <c r="G357" i="2"/>
  <c r="F358" i="2"/>
  <c r="J358" i="2"/>
  <c r="I359" i="2"/>
  <c r="H360" i="2"/>
  <c r="G361" i="2"/>
  <c r="F362" i="2"/>
  <c r="J362" i="2"/>
  <c r="I363" i="2"/>
  <c r="H364" i="2"/>
  <c r="G365" i="2"/>
  <c r="F366" i="2"/>
  <c r="J366" i="2"/>
  <c r="I367" i="2"/>
  <c r="H368" i="2"/>
  <c r="G369" i="2"/>
  <c r="F370" i="2"/>
  <c r="J370" i="2"/>
  <c r="I371" i="2"/>
  <c r="H372" i="2"/>
  <c r="G373" i="2"/>
  <c r="F374" i="2"/>
  <c r="J374" i="2"/>
  <c r="I375" i="2"/>
  <c r="H376" i="2"/>
  <c r="G377" i="2"/>
  <c r="F378" i="2"/>
  <c r="J378" i="2"/>
  <c r="I379" i="2"/>
  <c r="I380" i="2"/>
  <c r="F381" i="2"/>
  <c r="G382" i="2"/>
  <c r="I383" i="2"/>
  <c r="G384" i="2"/>
  <c r="F385" i="2"/>
  <c r="J389" i="2"/>
  <c r="I390" i="2"/>
  <c r="H391" i="2"/>
  <c r="G392" i="2"/>
  <c r="F393" i="2"/>
  <c r="J397" i="2"/>
  <c r="I398" i="2"/>
  <c r="H399" i="2"/>
  <c r="G400" i="2"/>
  <c r="F401" i="2"/>
  <c r="J405" i="2"/>
  <c r="I406" i="2"/>
  <c r="H407" i="2"/>
  <c r="G408" i="2"/>
  <c r="J413" i="2"/>
  <c r="H415" i="2"/>
  <c r="F417" i="2"/>
  <c r="I422" i="2"/>
  <c r="G424" i="2"/>
  <c r="J429" i="2"/>
  <c r="H431" i="2"/>
  <c r="F433" i="2"/>
  <c r="F435" i="2"/>
  <c r="G441" i="2"/>
  <c r="H448" i="2"/>
  <c r="I455" i="2"/>
  <c r="J462" i="2"/>
  <c r="F466" i="2"/>
  <c r="G473" i="2"/>
  <c r="H482" i="2"/>
  <c r="J496" i="2"/>
  <c r="G310" i="2"/>
  <c r="F311" i="2"/>
  <c r="J311" i="2"/>
  <c r="I312" i="2"/>
  <c r="H313" i="2"/>
  <c r="G314" i="2"/>
  <c r="F315" i="2"/>
  <c r="J315" i="2"/>
  <c r="I316" i="2"/>
  <c r="H317" i="2"/>
  <c r="G318" i="2"/>
  <c r="F319" i="2"/>
  <c r="J319" i="2"/>
  <c r="I320" i="2"/>
  <c r="H321" i="2"/>
  <c r="G322" i="2"/>
  <c r="F323" i="2"/>
  <c r="J323" i="2"/>
  <c r="I324" i="2"/>
  <c r="H325" i="2"/>
  <c r="G326" i="2"/>
  <c r="F327" i="2"/>
  <c r="J327" i="2"/>
  <c r="I328" i="2"/>
  <c r="H329" i="2"/>
  <c r="G330" i="2"/>
  <c r="F331" i="2"/>
  <c r="J331" i="2"/>
  <c r="I332" i="2"/>
  <c r="H333" i="2"/>
  <c r="G334" i="2"/>
  <c r="F335" i="2"/>
  <c r="J335" i="2"/>
  <c r="I336" i="2"/>
  <c r="H337" i="2"/>
  <c r="G338" i="2"/>
  <c r="F339" i="2"/>
  <c r="J339" i="2"/>
  <c r="I340" i="2"/>
  <c r="H341" i="2"/>
  <c r="G342" i="2"/>
  <c r="F343" i="2"/>
  <c r="J343" i="2"/>
  <c r="I344" i="2"/>
  <c r="H345" i="2"/>
  <c r="G346" i="2"/>
  <c r="F347" i="2"/>
  <c r="J347" i="2"/>
  <c r="I348" i="2"/>
  <c r="H349" i="2"/>
  <c r="G350" i="2"/>
  <c r="F351" i="2"/>
  <c r="J351" i="2"/>
  <c r="I352" i="2"/>
  <c r="H353" i="2"/>
  <c r="G354" i="2"/>
  <c r="F355" i="2"/>
  <c r="J355" i="2"/>
  <c r="I356" i="2"/>
  <c r="H357" i="2"/>
  <c r="G358" i="2"/>
  <c r="F359" i="2"/>
  <c r="J359" i="2"/>
  <c r="I360" i="2"/>
  <c r="H361" i="2"/>
  <c r="G362" i="2"/>
  <c r="F363" i="2"/>
  <c r="J363" i="2"/>
  <c r="I364" i="2"/>
  <c r="H365" i="2"/>
  <c r="G366" i="2"/>
  <c r="F367" i="2"/>
  <c r="J367" i="2"/>
  <c r="I368" i="2"/>
  <c r="H369" i="2"/>
  <c r="G370" i="2"/>
  <c r="F371" i="2"/>
  <c r="J371" i="2"/>
  <c r="I372" i="2"/>
  <c r="H373" i="2"/>
  <c r="G374" i="2"/>
  <c r="F375" i="2"/>
  <c r="J375" i="2"/>
  <c r="I376" i="2"/>
  <c r="H377" i="2"/>
  <c r="G378" i="2"/>
  <c r="F379" i="2"/>
  <c r="J379" i="2"/>
  <c r="G381" i="2"/>
  <c r="I382" i="2"/>
  <c r="J383" i="2"/>
  <c r="H384" i="2"/>
  <c r="G385" i="2"/>
  <c r="F386" i="2"/>
  <c r="J390" i="2"/>
  <c r="I391" i="2"/>
  <c r="H392" i="2"/>
  <c r="G393" i="2"/>
  <c r="F394" i="2"/>
  <c r="J398" i="2"/>
  <c r="I399" i="2"/>
  <c r="H400" i="2"/>
  <c r="G401" i="2"/>
  <c r="F402" i="2"/>
  <c r="J406" i="2"/>
  <c r="I407" i="2"/>
  <c r="I410" i="2"/>
  <c r="G412" i="2"/>
  <c r="J417" i="2"/>
  <c r="H419" i="2"/>
  <c r="F421" i="2"/>
  <c r="I426" i="2"/>
  <c r="G428" i="2"/>
  <c r="J433" i="2"/>
  <c r="J438" i="2"/>
  <c r="F442" i="2"/>
  <c r="G449" i="2"/>
  <c r="H456" i="2"/>
  <c r="I463" i="2"/>
  <c r="J470" i="2"/>
  <c r="F474" i="2"/>
  <c r="F500" i="2"/>
  <c r="F296" i="2"/>
  <c r="J296" i="2"/>
  <c r="E297" i="2"/>
  <c r="I297" i="2"/>
  <c r="D298" i="2"/>
  <c r="H298" i="2"/>
  <c r="C299" i="2"/>
  <c r="G299" i="2"/>
  <c r="B300" i="2"/>
  <c r="F300" i="2"/>
  <c r="J300" i="2"/>
  <c r="E301" i="2"/>
  <c r="I301" i="2"/>
  <c r="D302" i="2"/>
  <c r="H302" i="2"/>
  <c r="C303" i="2"/>
  <c r="G303" i="2"/>
  <c r="B304" i="2"/>
  <c r="F304" i="2"/>
  <c r="J304" i="2"/>
  <c r="E305" i="2"/>
  <c r="I305" i="2"/>
  <c r="D306" i="2"/>
  <c r="H306" i="2"/>
  <c r="C307" i="2"/>
  <c r="G307" i="2"/>
  <c r="B308" i="2"/>
  <c r="F308" i="2"/>
  <c r="J308" i="2"/>
  <c r="E309" i="2"/>
  <c r="I309" i="2"/>
  <c r="D310" i="2"/>
  <c r="H310" i="2"/>
  <c r="C311" i="2"/>
  <c r="G311" i="2"/>
  <c r="B312" i="2"/>
  <c r="F312" i="2"/>
  <c r="J312" i="2"/>
  <c r="E313" i="2"/>
  <c r="I313" i="2"/>
  <c r="D314" i="2"/>
  <c r="H314" i="2"/>
  <c r="C315" i="2"/>
  <c r="G315" i="2"/>
  <c r="B316" i="2"/>
  <c r="F316" i="2"/>
  <c r="J316" i="2"/>
  <c r="E317" i="2"/>
  <c r="I317" i="2"/>
  <c r="D318" i="2"/>
  <c r="H318" i="2"/>
  <c r="C319" i="2"/>
  <c r="G319" i="2"/>
  <c r="B320" i="2"/>
  <c r="F320" i="2"/>
  <c r="J320" i="2"/>
  <c r="E321" i="2"/>
  <c r="I321" i="2"/>
  <c r="D322" i="2"/>
  <c r="H322" i="2"/>
  <c r="C323" i="2"/>
  <c r="G323" i="2"/>
  <c r="B324" i="2"/>
  <c r="F324" i="2"/>
  <c r="J324" i="2"/>
  <c r="E325" i="2"/>
  <c r="I325" i="2"/>
  <c r="D326" i="2"/>
  <c r="H326" i="2"/>
  <c r="C327" i="2"/>
  <c r="G327" i="2"/>
  <c r="B328" i="2"/>
  <c r="F328" i="2"/>
  <c r="J328" i="2"/>
  <c r="E329" i="2"/>
  <c r="I329" i="2"/>
  <c r="D330" i="2"/>
  <c r="H330" i="2"/>
  <c r="C331" i="2"/>
  <c r="G331" i="2"/>
  <c r="B332" i="2"/>
  <c r="F332" i="2"/>
  <c r="J332" i="2"/>
  <c r="E333" i="2"/>
  <c r="I333" i="2"/>
  <c r="D334" i="2"/>
  <c r="H334" i="2"/>
  <c r="C335" i="2"/>
  <c r="G335" i="2"/>
  <c r="B336" i="2"/>
  <c r="F336" i="2"/>
  <c r="J336" i="2"/>
  <c r="E337" i="2"/>
  <c r="I337" i="2"/>
  <c r="D338" i="2"/>
  <c r="H338" i="2"/>
  <c r="C339" i="2"/>
  <c r="G339" i="2"/>
  <c r="B340" i="2"/>
  <c r="F340" i="2"/>
  <c r="J340" i="2"/>
  <c r="E341" i="2"/>
  <c r="I341" i="2"/>
  <c r="D342" i="2"/>
  <c r="H342" i="2"/>
  <c r="C343" i="2"/>
  <c r="G343" i="2"/>
  <c r="B344" i="2"/>
  <c r="F344" i="2"/>
  <c r="J344" i="2"/>
  <c r="E345" i="2"/>
  <c r="I345" i="2"/>
  <c r="D346" i="2"/>
  <c r="H346" i="2"/>
  <c r="C347" i="2"/>
  <c r="G347" i="2"/>
  <c r="B348" i="2"/>
  <c r="F348" i="2"/>
  <c r="J348" i="2"/>
  <c r="E349" i="2"/>
  <c r="I349" i="2"/>
  <c r="D350" i="2"/>
  <c r="H350" i="2"/>
  <c r="C351" i="2"/>
  <c r="G351" i="2"/>
  <c r="B352" i="2"/>
  <c r="F352" i="2"/>
  <c r="J352" i="2"/>
  <c r="E353" i="2"/>
  <c r="I353" i="2"/>
  <c r="D354" i="2"/>
  <c r="H354" i="2"/>
  <c r="C355" i="2"/>
  <c r="G355" i="2"/>
  <c r="B356" i="2"/>
  <c r="F356" i="2"/>
  <c r="J356" i="2"/>
  <c r="E357" i="2"/>
  <c r="I357" i="2"/>
  <c r="D358" i="2"/>
  <c r="H358" i="2"/>
  <c r="C359" i="2"/>
  <c r="G359" i="2"/>
  <c r="B360" i="2"/>
  <c r="F360" i="2"/>
  <c r="J360" i="2"/>
  <c r="E361" i="2"/>
  <c r="I361" i="2"/>
  <c r="D362" i="2"/>
  <c r="H362" i="2"/>
  <c r="C363" i="2"/>
  <c r="G363" i="2"/>
  <c r="B364" i="2"/>
  <c r="F364" i="2"/>
  <c r="J364" i="2"/>
  <c r="E365" i="2"/>
  <c r="I365" i="2"/>
  <c r="D366" i="2"/>
  <c r="H366" i="2"/>
  <c r="C367" i="2"/>
  <c r="G367" i="2"/>
  <c r="B368" i="2"/>
  <c r="F368" i="2"/>
  <c r="J368" i="2"/>
  <c r="E369" i="2"/>
  <c r="I369" i="2"/>
  <c r="D370" i="2"/>
  <c r="H370" i="2"/>
  <c r="C371" i="2"/>
  <c r="G371" i="2"/>
  <c r="B372" i="2"/>
  <c r="F372" i="2"/>
  <c r="J372" i="2"/>
  <c r="E373" i="2"/>
  <c r="I373" i="2"/>
  <c r="D374" i="2"/>
  <c r="H374" i="2"/>
  <c r="C375" i="2"/>
  <c r="G375" i="2"/>
  <c r="B376" i="2"/>
  <c r="F376" i="2"/>
  <c r="J376" i="2"/>
  <c r="E377" i="2"/>
  <c r="I377" i="2"/>
  <c r="D378" i="2"/>
  <c r="H378" i="2"/>
  <c r="C379" i="2"/>
  <c r="G379" i="2"/>
  <c r="B380" i="2"/>
  <c r="G380" i="2"/>
  <c r="H381" i="2"/>
  <c r="J382" i="2"/>
  <c r="F383" i="2"/>
  <c r="J385" i="2"/>
  <c r="I386" i="2"/>
  <c r="H387" i="2"/>
  <c r="G388" i="2"/>
  <c r="F389" i="2"/>
  <c r="J393" i="2"/>
  <c r="I394" i="2"/>
  <c r="H395" i="2"/>
  <c r="G396" i="2"/>
  <c r="F397" i="2"/>
  <c r="J401" i="2"/>
  <c r="I402" i="2"/>
  <c r="H403" i="2"/>
  <c r="G404" i="2"/>
  <c r="F405" i="2"/>
  <c r="F409" i="2"/>
  <c r="I414" i="2"/>
  <c r="G416" i="2"/>
  <c r="J421" i="2"/>
  <c r="H423" i="2"/>
  <c r="F425" i="2"/>
  <c r="I430" i="2"/>
  <c r="G432" i="2"/>
  <c r="H436" i="2"/>
  <c r="I439" i="2"/>
  <c r="J446" i="2"/>
  <c r="F450" i="2"/>
  <c r="G457" i="2"/>
  <c r="H464" i="2"/>
  <c r="I471" i="2"/>
  <c r="J478" i="2"/>
  <c r="I489" i="2"/>
  <c r="H408" i="2"/>
  <c r="G409" i="2"/>
  <c r="F410" i="2"/>
  <c r="J410" i="2"/>
  <c r="I411" i="2"/>
  <c r="H412" i="2"/>
  <c r="G413" i="2"/>
  <c r="F414" i="2"/>
  <c r="J414" i="2"/>
  <c r="I415" i="2"/>
  <c r="H416" i="2"/>
  <c r="G417" i="2"/>
  <c r="F418" i="2"/>
  <c r="J418" i="2"/>
  <c r="I419" i="2"/>
  <c r="H420" i="2"/>
  <c r="G421" i="2"/>
  <c r="F422" i="2"/>
  <c r="J422" i="2"/>
  <c r="I423" i="2"/>
  <c r="H424" i="2"/>
  <c r="G425" i="2"/>
  <c r="F426" i="2"/>
  <c r="J426" i="2"/>
  <c r="I427" i="2"/>
  <c r="H428" i="2"/>
  <c r="G429" i="2"/>
  <c r="F430" i="2"/>
  <c r="J430" i="2"/>
  <c r="I431" i="2"/>
  <c r="H432" i="2"/>
  <c r="G433" i="2"/>
  <c r="F434" i="2"/>
  <c r="G435" i="2"/>
  <c r="I436" i="2"/>
  <c r="J439" i="2"/>
  <c r="I440" i="2"/>
  <c r="H441" i="2"/>
  <c r="G442" i="2"/>
  <c r="F443" i="2"/>
  <c r="J447" i="2"/>
  <c r="I448" i="2"/>
  <c r="H449" i="2"/>
  <c r="G450" i="2"/>
  <c r="F451" i="2"/>
  <c r="J455" i="2"/>
  <c r="I456" i="2"/>
  <c r="H457" i="2"/>
  <c r="G458" i="2"/>
  <c r="F459" i="2"/>
  <c r="J463" i="2"/>
  <c r="I464" i="2"/>
  <c r="H465" i="2"/>
  <c r="G466" i="2"/>
  <c r="F467" i="2"/>
  <c r="J471" i="2"/>
  <c r="I472" i="2"/>
  <c r="H473" i="2"/>
  <c r="G474" i="2"/>
  <c r="F475" i="2"/>
  <c r="H486" i="2"/>
  <c r="I493" i="2"/>
  <c r="J500" i="2"/>
  <c r="F504" i="2"/>
  <c r="I384" i="2"/>
  <c r="H385" i="2"/>
  <c r="G386" i="2"/>
  <c r="F387" i="2"/>
  <c r="J387" i="2"/>
  <c r="I388" i="2"/>
  <c r="H389" i="2"/>
  <c r="G390" i="2"/>
  <c r="F391" i="2"/>
  <c r="J391" i="2"/>
  <c r="I392" i="2"/>
  <c r="H393" i="2"/>
  <c r="G394" i="2"/>
  <c r="F395" i="2"/>
  <c r="J395" i="2"/>
  <c r="I396" i="2"/>
  <c r="H397" i="2"/>
  <c r="G398" i="2"/>
  <c r="F399" i="2"/>
  <c r="J399" i="2"/>
  <c r="I400" i="2"/>
  <c r="H401" i="2"/>
  <c r="G402" i="2"/>
  <c r="F403" i="2"/>
  <c r="J403" i="2"/>
  <c r="I404" i="2"/>
  <c r="H405" i="2"/>
  <c r="G406" i="2"/>
  <c r="F407" i="2"/>
  <c r="J407" i="2"/>
  <c r="I408" i="2"/>
  <c r="H409" i="2"/>
  <c r="G410" i="2"/>
  <c r="F411" i="2"/>
  <c r="J411" i="2"/>
  <c r="I412" i="2"/>
  <c r="H413" i="2"/>
  <c r="G414" i="2"/>
  <c r="F415" i="2"/>
  <c r="J415" i="2"/>
  <c r="I416" i="2"/>
  <c r="H417" i="2"/>
  <c r="G418" i="2"/>
  <c r="F419" i="2"/>
  <c r="J419" i="2"/>
  <c r="I420" i="2"/>
  <c r="H421" i="2"/>
  <c r="G422" i="2"/>
  <c r="F423" i="2"/>
  <c r="J423" i="2"/>
  <c r="I424" i="2"/>
  <c r="H425" i="2"/>
  <c r="G426" i="2"/>
  <c r="F427" i="2"/>
  <c r="J427" i="2"/>
  <c r="I428" i="2"/>
  <c r="H429" i="2"/>
  <c r="G430" i="2"/>
  <c r="F431" i="2"/>
  <c r="J431" i="2"/>
  <c r="I432" i="2"/>
  <c r="H433" i="2"/>
  <c r="G434" i="2"/>
  <c r="I435" i="2"/>
  <c r="J436" i="2"/>
  <c r="G437" i="2"/>
  <c r="F438" i="2"/>
  <c r="J442" i="2"/>
  <c r="I443" i="2"/>
  <c r="H444" i="2"/>
  <c r="G445" i="2"/>
  <c r="F446" i="2"/>
  <c r="J450" i="2"/>
  <c r="I451" i="2"/>
  <c r="H452" i="2"/>
  <c r="G453" i="2"/>
  <c r="F454" i="2"/>
  <c r="J458" i="2"/>
  <c r="I459" i="2"/>
  <c r="H460" i="2"/>
  <c r="G461" i="2"/>
  <c r="F462" i="2"/>
  <c r="J466" i="2"/>
  <c r="I467" i="2"/>
  <c r="H468" i="2"/>
  <c r="G469" i="2"/>
  <c r="F470" i="2"/>
  <c r="J474" i="2"/>
  <c r="I475" i="2"/>
  <c r="H476" i="2"/>
  <c r="G477" i="2"/>
  <c r="F478" i="2"/>
  <c r="J480" i="2"/>
  <c r="F484" i="2"/>
  <c r="G491" i="2"/>
  <c r="H498" i="2"/>
  <c r="I505" i="2"/>
  <c r="F380" i="2"/>
  <c r="J380" i="2"/>
  <c r="E381" i="2"/>
  <c r="I381" i="2"/>
  <c r="D382" i="2"/>
  <c r="H382" i="2"/>
  <c r="C383" i="2"/>
  <c r="G383" i="2"/>
  <c r="B384" i="2"/>
  <c r="F384" i="2"/>
  <c r="J384" i="2"/>
  <c r="E385" i="2"/>
  <c r="I385" i="2"/>
  <c r="D386" i="2"/>
  <c r="H386" i="2"/>
  <c r="C387" i="2"/>
  <c r="G387" i="2"/>
  <c r="B388" i="2"/>
  <c r="F388" i="2"/>
  <c r="J388" i="2"/>
  <c r="E389" i="2"/>
  <c r="I389" i="2"/>
  <c r="D390" i="2"/>
  <c r="H390" i="2"/>
  <c r="C391" i="2"/>
  <c r="G391" i="2"/>
  <c r="B392" i="2"/>
  <c r="F392" i="2"/>
  <c r="J392" i="2"/>
  <c r="E393" i="2"/>
  <c r="I393" i="2"/>
  <c r="D394" i="2"/>
  <c r="H394" i="2"/>
  <c r="C395" i="2"/>
  <c r="G395" i="2"/>
  <c r="B396" i="2"/>
  <c r="F396" i="2"/>
  <c r="J396" i="2"/>
  <c r="E397" i="2"/>
  <c r="I397" i="2"/>
  <c r="D398" i="2"/>
  <c r="H398" i="2"/>
  <c r="C399" i="2"/>
  <c r="G399" i="2"/>
  <c r="B400" i="2"/>
  <c r="F400" i="2"/>
  <c r="J400" i="2"/>
  <c r="E401" i="2"/>
  <c r="I401" i="2"/>
  <c r="D402" i="2"/>
  <c r="H402" i="2"/>
  <c r="C403" i="2"/>
  <c r="G403" i="2"/>
  <c r="B404" i="2"/>
  <c r="F404" i="2"/>
  <c r="J404" i="2"/>
  <c r="E405" i="2"/>
  <c r="I405" i="2"/>
  <c r="D406" i="2"/>
  <c r="H406" i="2"/>
  <c r="C407" i="2"/>
  <c r="G407" i="2"/>
  <c r="B408" i="2"/>
  <c r="F408" i="2"/>
  <c r="J408" i="2"/>
  <c r="E409" i="2"/>
  <c r="I409" i="2"/>
  <c r="D410" i="2"/>
  <c r="H410" i="2"/>
  <c r="C411" i="2"/>
  <c r="G411" i="2"/>
  <c r="B412" i="2"/>
  <c r="F412" i="2"/>
  <c r="J412" i="2"/>
  <c r="E413" i="2"/>
  <c r="I413" i="2"/>
  <c r="D414" i="2"/>
  <c r="H414" i="2"/>
  <c r="C415" i="2"/>
  <c r="G415" i="2"/>
  <c r="B416" i="2"/>
  <c r="F416" i="2"/>
  <c r="J416" i="2"/>
  <c r="E417" i="2"/>
  <c r="I417" i="2"/>
  <c r="D418" i="2"/>
  <c r="H418" i="2"/>
  <c r="C419" i="2"/>
  <c r="G419" i="2"/>
  <c r="B420" i="2"/>
  <c r="F420" i="2"/>
  <c r="J420" i="2"/>
  <c r="E421" i="2"/>
  <c r="I421" i="2"/>
  <c r="D422" i="2"/>
  <c r="H422" i="2"/>
  <c r="C423" i="2"/>
  <c r="G423" i="2"/>
  <c r="B424" i="2"/>
  <c r="F424" i="2"/>
  <c r="J424" i="2"/>
  <c r="E425" i="2"/>
  <c r="I425" i="2"/>
  <c r="D426" i="2"/>
  <c r="H426" i="2"/>
  <c r="C427" i="2"/>
  <c r="G427" i="2"/>
  <c r="B428" i="2"/>
  <c r="F428" i="2"/>
  <c r="J428" i="2"/>
  <c r="E429" i="2"/>
  <c r="I429" i="2"/>
  <c r="D430" i="2"/>
  <c r="H430" i="2"/>
  <c r="C431" i="2"/>
  <c r="G431" i="2"/>
  <c r="B432" i="2"/>
  <c r="F432" i="2"/>
  <c r="J432" i="2"/>
  <c r="E433" i="2"/>
  <c r="I433" i="2"/>
  <c r="D434" i="2"/>
  <c r="H434" i="2"/>
  <c r="J435" i="2"/>
  <c r="F436" i="2"/>
  <c r="H437" i="2"/>
  <c r="G438" i="2"/>
  <c r="F439" i="2"/>
  <c r="J443" i="2"/>
  <c r="I444" i="2"/>
  <c r="H445" i="2"/>
  <c r="G446" i="2"/>
  <c r="F447" i="2"/>
  <c r="J451" i="2"/>
  <c r="I452" i="2"/>
  <c r="H453" i="2"/>
  <c r="G454" i="2"/>
  <c r="F455" i="2"/>
  <c r="J459" i="2"/>
  <c r="I460" i="2"/>
  <c r="H461" i="2"/>
  <c r="G462" i="2"/>
  <c r="F463" i="2"/>
  <c r="J467" i="2"/>
  <c r="I468" i="2"/>
  <c r="H469" i="2"/>
  <c r="G470" i="2"/>
  <c r="F471" i="2"/>
  <c r="J475" i="2"/>
  <c r="I476" i="2"/>
  <c r="H477" i="2"/>
  <c r="G478" i="2"/>
  <c r="F479" i="2"/>
  <c r="J484" i="2"/>
  <c r="F488" i="2"/>
  <c r="G495" i="2"/>
  <c r="H502" i="2"/>
  <c r="I437" i="2"/>
  <c r="H438" i="2"/>
  <c r="G439" i="2"/>
  <c r="F440" i="2"/>
  <c r="J440" i="2"/>
  <c r="I441" i="2"/>
  <c r="H442" i="2"/>
  <c r="G443" i="2"/>
  <c r="F444" i="2"/>
  <c r="J444" i="2"/>
  <c r="I445" i="2"/>
  <c r="H446" i="2"/>
  <c r="G447" i="2"/>
  <c r="F448" i="2"/>
  <c r="J448" i="2"/>
  <c r="I449" i="2"/>
  <c r="H450" i="2"/>
  <c r="G451" i="2"/>
  <c r="F452" i="2"/>
  <c r="J452" i="2"/>
  <c r="I453" i="2"/>
  <c r="H454" i="2"/>
  <c r="G455" i="2"/>
  <c r="F456" i="2"/>
  <c r="J456" i="2"/>
  <c r="I457" i="2"/>
  <c r="H458" i="2"/>
  <c r="G459" i="2"/>
  <c r="F460" i="2"/>
  <c r="J460" i="2"/>
  <c r="I461" i="2"/>
  <c r="H462" i="2"/>
  <c r="G463" i="2"/>
  <c r="F464" i="2"/>
  <c r="J464" i="2"/>
  <c r="I465" i="2"/>
  <c r="H466" i="2"/>
  <c r="G467" i="2"/>
  <c r="F468" i="2"/>
  <c r="J468" i="2"/>
  <c r="I469" i="2"/>
  <c r="H470" i="2"/>
  <c r="G471" i="2"/>
  <c r="F472" i="2"/>
  <c r="J472" i="2"/>
  <c r="I473" i="2"/>
  <c r="H474" i="2"/>
  <c r="G475" i="2"/>
  <c r="F476" i="2"/>
  <c r="J476" i="2"/>
  <c r="I477" i="2"/>
  <c r="H478" i="2"/>
  <c r="G479" i="2"/>
  <c r="I481" i="2"/>
  <c r="G483" i="2"/>
  <c r="J488" i="2"/>
  <c r="H490" i="2"/>
  <c r="F492" i="2"/>
  <c r="I497" i="2"/>
  <c r="G499" i="2"/>
  <c r="J504" i="2"/>
  <c r="H506" i="2"/>
  <c r="I434" i="2"/>
  <c r="D435" i="2"/>
  <c r="H435" i="2"/>
  <c r="C436" i="2"/>
  <c r="G436" i="2"/>
  <c r="B437" i="2"/>
  <c r="F437" i="2"/>
  <c r="J437" i="2"/>
  <c r="E438" i="2"/>
  <c r="I438" i="2"/>
  <c r="D439" i="2"/>
  <c r="H439" i="2"/>
  <c r="C440" i="2"/>
  <c r="G440" i="2"/>
  <c r="B441" i="2"/>
  <c r="F441" i="2"/>
  <c r="J441" i="2"/>
  <c r="E442" i="2"/>
  <c r="I442" i="2"/>
  <c r="D443" i="2"/>
  <c r="H443" i="2"/>
  <c r="C444" i="2"/>
  <c r="G444" i="2"/>
  <c r="B445" i="2"/>
  <c r="F445" i="2"/>
  <c r="J445" i="2"/>
  <c r="E446" i="2"/>
  <c r="I446" i="2"/>
  <c r="D447" i="2"/>
  <c r="H447" i="2"/>
  <c r="C448" i="2"/>
  <c r="G448" i="2"/>
  <c r="B449" i="2"/>
  <c r="F449" i="2"/>
  <c r="J449" i="2"/>
  <c r="E450" i="2"/>
  <c r="I450" i="2"/>
  <c r="D451" i="2"/>
  <c r="H451" i="2"/>
  <c r="C452" i="2"/>
  <c r="G452" i="2"/>
  <c r="B453" i="2"/>
  <c r="F453" i="2"/>
  <c r="J453" i="2"/>
  <c r="E454" i="2"/>
  <c r="I454" i="2"/>
  <c r="D455" i="2"/>
  <c r="H455" i="2"/>
  <c r="C456" i="2"/>
  <c r="G456" i="2"/>
  <c r="B457" i="2"/>
  <c r="F457" i="2"/>
  <c r="J457" i="2"/>
  <c r="E458" i="2"/>
  <c r="I458" i="2"/>
  <c r="D459" i="2"/>
  <c r="H459" i="2"/>
  <c r="C460" i="2"/>
  <c r="G460" i="2"/>
  <c r="B461" i="2"/>
  <c r="F461" i="2"/>
  <c r="J461" i="2"/>
  <c r="E462" i="2"/>
  <c r="I462" i="2"/>
  <c r="D463" i="2"/>
  <c r="H463" i="2"/>
  <c r="C464" i="2"/>
  <c r="G464" i="2"/>
  <c r="B465" i="2"/>
  <c r="F465" i="2"/>
  <c r="J465" i="2"/>
  <c r="E466" i="2"/>
  <c r="I466" i="2"/>
  <c r="D467" i="2"/>
  <c r="H467" i="2"/>
  <c r="C468" i="2"/>
  <c r="G468" i="2"/>
  <c r="B469" i="2"/>
  <c r="F469" i="2"/>
  <c r="J469" i="2"/>
  <c r="E470" i="2"/>
  <c r="I470" i="2"/>
  <c r="D471" i="2"/>
  <c r="H471" i="2"/>
  <c r="C472" i="2"/>
  <c r="G472" i="2"/>
  <c r="B473" i="2"/>
  <c r="F473" i="2"/>
  <c r="J473" i="2"/>
  <c r="E474" i="2"/>
  <c r="I474" i="2"/>
  <c r="D475" i="2"/>
  <c r="H475" i="2"/>
  <c r="G476" i="2"/>
  <c r="C476" i="2"/>
  <c r="B477" i="2"/>
  <c r="F477" i="2"/>
  <c r="J477" i="2"/>
  <c r="E478" i="2"/>
  <c r="I478" i="2"/>
  <c r="D479" i="2"/>
  <c r="H479" i="2"/>
  <c r="F480" i="2"/>
  <c r="I485" i="2"/>
  <c r="G487" i="2"/>
  <c r="J492" i="2"/>
  <c r="H494" i="2"/>
  <c r="F496" i="2"/>
  <c r="I501" i="2"/>
  <c r="G503" i="2"/>
  <c r="G480" i="2"/>
  <c r="F481" i="2"/>
  <c r="J481" i="2"/>
  <c r="I482" i="2"/>
  <c r="H483" i="2"/>
  <c r="G484" i="2"/>
  <c r="F485" i="2"/>
  <c r="J485" i="2"/>
  <c r="I486" i="2"/>
  <c r="H487" i="2"/>
  <c r="G488" i="2"/>
  <c r="F489" i="2"/>
  <c r="J489" i="2"/>
  <c r="I490" i="2"/>
  <c r="H491" i="2"/>
  <c r="G492" i="2"/>
  <c r="F493" i="2"/>
  <c r="J493" i="2"/>
  <c r="I494" i="2"/>
  <c r="H495" i="2"/>
  <c r="G496" i="2"/>
  <c r="F497" i="2"/>
  <c r="J497" i="2"/>
  <c r="I498" i="2"/>
  <c r="H499" i="2"/>
  <c r="G500" i="2"/>
  <c r="F501" i="2"/>
  <c r="J501" i="2"/>
  <c r="I502" i="2"/>
  <c r="H503" i="2"/>
  <c r="G504" i="2"/>
  <c r="F505" i="2"/>
  <c r="J505" i="2"/>
  <c r="I506" i="2"/>
  <c r="H507" i="2"/>
  <c r="H480" i="2"/>
  <c r="G481" i="2"/>
  <c r="F482" i="2"/>
  <c r="J482" i="2"/>
  <c r="I483" i="2"/>
  <c r="H484" i="2"/>
  <c r="G485" i="2"/>
  <c r="F486" i="2"/>
  <c r="J486" i="2"/>
  <c r="I487" i="2"/>
  <c r="H488" i="2"/>
  <c r="G489" i="2"/>
  <c r="F490" i="2"/>
  <c r="J490" i="2"/>
  <c r="I491" i="2"/>
  <c r="H492" i="2"/>
  <c r="G493" i="2"/>
  <c r="F494" i="2"/>
  <c r="J494" i="2"/>
  <c r="I495" i="2"/>
  <c r="H496" i="2"/>
  <c r="G497" i="2"/>
  <c r="F498" i="2"/>
  <c r="J498" i="2"/>
  <c r="I499" i="2"/>
  <c r="H500" i="2"/>
  <c r="G501" i="2"/>
  <c r="F502" i="2"/>
  <c r="J502" i="2"/>
  <c r="I503" i="2"/>
  <c r="H504" i="2"/>
  <c r="G505" i="2"/>
  <c r="F506" i="2"/>
  <c r="J506" i="2"/>
  <c r="I507" i="2"/>
  <c r="J479" i="2"/>
  <c r="E480" i="2"/>
  <c r="I480" i="2"/>
  <c r="D481" i="2"/>
  <c r="H481" i="2"/>
  <c r="C482" i="2"/>
  <c r="G482" i="2"/>
  <c r="B483" i="2"/>
  <c r="F483" i="2"/>
  <c r="J483" i="2"/>
  <c r="E484" i="2"/>
  <c r="I484" i="2"/>
  <c r="D485" i="2"/>
  <c r="H485" i="2"/>
  <c r="C486" i="2"/>
  <c r="G486" i="2"/>
  <c r="B487" i="2"/>
  <c r="F487" i="2"/>
  <c r="J487" i="2"/>
  <c r="E488" i="2"/>
  <c r="I488" i="2"/>
  <c r="D489" i="2"/>
  <c r="H489" i="2"/>
  <c r="C490" i="2"/>
  <c r="G490" i="2"/>
  <c r="B491" i="2"/>
  <c r="F491" i="2"/>
  <c r="J491" i="2"/>
  <c r="E492" i="2"/>
  <c r="I492" i="2"/>
  <c r="D493" i="2"/>
  <c r="H493" i="2"/>
  <c r="C494" i="2"/>
  <c r="G494" i="2"/>
  <c r="B495" i="2"/>
  <c r="F495" i="2"/>
  <c r="J495" i="2"/>
  <c r="E496" i="2"/>
  <c r="I496" i="2"/>
  <c r="D497" i="2"/>
  <c r="H497" i="2"/>
  <c r="C498" i="2"/>
  <c r="G498" i="2"/>
  <c r="B499" i="2"/>
  <c r="F499" i="2"/>
  <c r="J499" i="2"/>
  <c r="E500" i="2"/>
  <c r="I500" i="2"/>
  <c r="D501" i="2"/>
  <c r="H501" i="2"/>
  <c r="C502" i="2"/>
  <c r="G502" i="2"/>
  <c r="B503" i="2"/>
  <c r="F503" i="2"/>
  <c r="J503" i="2"/>
  <c r="E504" i="2"/>
  <c r="I504" i="2"/>
  <c r="D505" i="2"/>
  <c r="H505" i="2"/>
  <c r="C506" i="2"/>
  <c r="G506" i="2"/>
  <c r="B507" i="2"/>
  <c r="F507" i="2"/>
  <c r="J507" i="2"/>
  <c r="J537" i="2"/>
  <c r="F537" i="2"/>
  <c r="B537" i="2"/>
  <c r="G536" i="2"/>
  <c r="C536" i="2"/>
  <c r="H535" i="2"/>
  <c r="D535" i="2"/>
  <c r="I534" i="2"/>
  <c r="E534" i="2"/>
  <c r="J533" i="2"/>
  <c r="F533" i="2"/>
  <c r="B533" i="2"/>
  <c r="G532" i="2"/>
  <c r="C532" i="2"/>
  <c r="H531" i="2"/>
  <c r="D531" i="2"/>
  <c r="I530" i="2"/>
  <c r="E530" i="2"/>
  <c r="J529" i="2"/>
  <c r="F529" i="2"/>
  <c r="B529" i="2"/>
  <c r="G528" i="2"/>
  <c r="C528" i="2"/>
  <c r="H526" i="2"/>
  <c r="D526" i="2"/>
  <c r="I525" i="2"/>
  <c r="E525" i="2"/>
  <c r="J524" i="2"/>
  <c r="F524" i="2"/>
  <c r="B524" i="2"/>
  <c r="G523" i="2"/>
  <c r="C523" i="2"/>
  <c r="H522" i="2"/>
  <c r="D522" i="2"/>
  <c r="I521" i="2"/>
  <c r="E521" i="2"/>
  <c r="J520" i="2"/>
  <c r="F520" i="2"/>
  <c r="B520" i="2"/>
  <c r="G519" i="2"/>
  <c r="C519" i="2"/>
  <c r="H518" i="2"/>
  <c r="D518" i="2"/>
  <c r="I517" i="2"/>
  <c r="E517" i="2"/>
  <c r="J515" i="2"/>
  <c r="F515" i="2"/>
  <c r="B515" i="2"/>
  <c r="G514" i="2"/>
  <c r="C514" i="2"/>
  <c r="H513" i="2"/>
  <c r="D513" i="2"/>
  <c r="I512" i="2"/>
  <c r="E512" i="2"/>
  <c r="J511" i="2"/>
  <c r="F511" i="2"/>
  <c r="B511" i="2"/>
  <c r="G510" i="2"/>
  <c r="C510" i="2"/>
  <c r="H509" i="2"/>
  <c r="D509" i="2"/>
  <c r="I508" i="2"/>
  <c r="E508" i="2"/>
  <c r="I537" i="2"/>
  <c r="E537" i="2"/>
  <c r="J536" i="2"/>
  <c r="F536" i="2"/>
  <c r="B536" i="2"/>
  <c r="G535" i="2"/>
  <c r="C535" i="2"/>
  <c r="H534" i="2"/>
  <c r="D534" i="2"/>
  <c r="I533" i="2"/>
  <c r="E533" i="2"/>
  <c r="J532" i="2"/>
  <c r="F532" i="2"/>
  <c r="B532" i="2"/>
  <c r="G531" i="2"/>
  <c r="C531" i="2"/>
  <c r="H530" i="2"/>
  <c r="D530" i="2"/>
  <c r="I529" i="2"/>
  <c r="E529" i="2"/>
  <c r="J528" i="2"/>
  <c r="F528" i="2"/>
  <c r="B528" i="2"/>
  <c r="G526" i="2"/>
  <c r="C526" i="2"/>
  <c r="H525" i="2"/>
  <c r="D525" i="2"/>
  <c r="I524" i="2"/>
  <c r="E524" i="2"/>
  <c r="J523" i="2"/>
  <c r="F523" i="2"/>
  <c r="B523" i="2"/>
  <c r="G522" i="2"/>
  <c r="C522" i="2"/>
  <c r="H521" i="2"/>
  <c r="D521" i="2"/>
  <c r="I520" i="2"/>
  <c r="E520" i="2"/>
  <c r="J519" i="2"/>
  <c r="F519" i="2"/>
  <c r="B519" i="2"/>
  <c r="G518" i="2"/>
  <c r="C518" i="2"/>
  <c r="H517" i="2"/>
  <c r="D517" i="2"/>
  <c r="I515" i="2"/>
  <c r="E515" i="2"/>
  <c r="J514" i="2"/>
  <c r="F514" i="2"/>
  <c r="B514" i="2"/>
  <c r="G513" i="2"/>
  <c r="C513" i="2"/>
  <c r="H512" i="2"/>
  <c r="D512" i="2"/>
  <c r="I511" i="2"/>
  <c r="E511" i="2"/>
  <c r="J510" i="2"/>
  <c r="F510" i="2"/>
  <c r="B510" i="2"/>
  <c r="G509" i="2"/>
  <c r="C509" i="2"/>
  <c r="H508" i="2"/>
  <c r="D508" i="2"/>
  <c r="E507" i="2"/>
  <c r="B506" i="2"/>
  <c r="C505" i="2"/>
  <c r="D504" i="2"/>
  <c r="E503" i="2"/>
  <c r="B502" i="2"/>
  <c r="C501" i="2"/>
  <c r="D500" i="2"/>
  <c r="E499" i="2"/>
  <c r="B498" i="2"/>
  <c r="C497" i="2"/>
  <c r="D496" i="2"/>
  <c r="E495" i="2"/>
  <c r="B494" i="2"/>
  <c r="C493" i="2"/>
  <c r="D492" i="2"/>
  <c r="E491" i="2"/>
  <c r="B490" i="2"/>
  <c r="C489" i="2"/>
  <c r="D488" i="2"/>
  <c r="E487" i="2"/>
  <c r="B486" i="2"/>
  <c r="C485" i="2"/>
  <c r="D484" i="2"/>
  <c r="E483" i="2"/>
  <c r="B482" i="2"/>
  <c r="C481" i="2"/>
  <c r="H537" i="2"/>
  <c r="D537" i="2"/>
  <c r="I536" i="2"/>
  <c r="E536" i="2"/>
  <c r="J535" i="2"/>
  <c r="F535" i="2"/>
  <c r="B535" i="2"/>
  <c r="G534" i="2"/>
  <c r="C534" i="2"/>
  <c r="H533" i="2"/>
  <c r="D533" i="2"/>
  <c r="I532" i="2"/>
  <c r="E532" i="2"/>
  <c r="J531" i="2"/>
  <c r="F531" i="2"/>
  <c r="B531" i="2"/>
  <c r="G530" i="2"/>
  <c r="C530" i="2"/>
  <c r="H529" i="2"/>
  <c r="D529" i="2"/>
  <c r="I528" i="2"/>
  <c r="E528" i="2"/>
  <c r="J526" i="2"/>
  <c r="F526" i="2"/>
  <c r="B526" i="2"/>
  <c r="G525" i="2"/>
  <c r="C525" i="2"/>
  <c r="H524" i="2"/>
  <c r="D524" i="2"/>
  <c r="I523" i="2"/>
  <c r="E523" i="2"/>
  <c r="J522" i="2"/>
  <c r="F522" i="2"/>
  <c r="B522" i="2"/>
  <c r="G521" i="2"/>
  <c r="C521" i="2"/>
  <c r="H520" i="2"/>
  <c r="D520" i="2"/>
  <c r="I519" i="2"/>
  <c r="E519" i="2"/>
  <c r="J518" i="2"/>
  <c r="F518" i="2"/>
  <c r="B518" i="2"/>
  <c r="G517" i="2"/>
  <c r="C517" i="2"/>
  <c r="H515" i="2"/>
  <c r="D515" i="2"/>
  <c r="I514" i="2"/>
  <c r="E514" i="2"/>
  <c r="J513" i="2"/>
  <c r="F513" i="2"/>
  <c r="B513" i="2"/>
  <c r="G512" i="2"/>
  <c r="C512" i="2"/>
  <c r="H511" i="2"/>
  <c r="D511" i="2"/>
  <c r="I510" i="2"/>
  <c r="E510" i="2"/>
  <c r="J509" i="2"/>
  <c r="F509" i="2"/>
  <c r="B509" i="2"/>
  <c r="G508" i="2"/>
  <c r="C508" i="2"/>
  <c r="D507" i="2"/>
  <c r="E506" i="2"/>
  <c r="B505" i="2"/>
  <c r="C504" i="2"/>
  <c r="D503" i="2"/>
  <c r="E502" i="2"/>
  <c r="B501" i="2"/>
  <c r="C500" i="2"/>
  <c r="D499" i="2"/>
  <c r="E498" i="2"/>
  <c r="B497" i="2"/>
  <c r="C496" i="2"/>
  <c r="D495" i="2"/>
  <c r="E494" i="2"/>
  <c r="B493" i="2"/>
  <c r="C492" i="2"/>
  <c r="D491" i="2"/>
  <c r="E490" i="2"/>
  <c r="B489" i="2"/>
  <c r="C488" i="2"/>
  <c r="D487" i="2"/>
  <c r="E486" i="2"/>
  <c r="B485" i="2"/>
  <c r="C484" i="2"/>
  <c r="D483" i="2"/>
  <c r="E482" i="2"/>
  <c r="B481" i="2"/>
  <c r="C480" i="2"/>
  <c r="G537" i="2"/>
  <c r="I535" i="2"/>
  <c r="B534" i="2"/>
  <c r="D532" i="2"/>
  <c r="F530" i="2"/>
  <c r="H528" i="2"/>
  <c r="J525" i="2"/>
  <c r="C524" i="2"/>
  <c r="E522" i="2"/>
  <c r="G520" i="2"/>
  <c r="I518" i="2"/>
  <c r="B517" i="2"/>
  <c r="D514" i="2"/>
  <c r="F512" i="2"/>
  <c r="H510" i="2"/>
  <c r="J508" i="2"/>
  <c r="C507" i="2"/>
  <c r="E505" i="2"/>
  <c r="B500" i="2"/>
  <c r="D498" i="2"/>
  <c r="C491" i="2"/>
  <c r="E489" i="2"/>
  <c r="B484" i="2"/>
  <c r="D482" i="2"/>
  <c r="C537" i="2"/>
  <c r="E535" i="2"/>
  <c r="G533" i="2"/>
  <c r="I531" i="2"/>
  <c r="B530" i="2"/>
  <c r="D528" i="2"/>
  <c r="F525" i="2"/>
  <c r="H523" i="2"/>
  <c r="J521" i="2"/>
  <c r="C520" i="2"/>
  <c r="E518" i="2"/>
  <c r="G515" i="2"/>
  <c r="I513" i="2"/>
  <c r="B512" i="2"/>
  <c r="D510" i="2"/>
  <c r="F508" i="2"/>
  <c r="C503" i="2"/>
  <c r="E501" i="2"/>
  <c r="B496" i="2"/>
  <c r="D494" i="2"/>
  <c r="C487" i="2"/>
  <c r="E485" i="2"/>
  <c r="D480" i="2"/>
  <c r="C479" i="2"/>
  <c r="D478" i="2"/>
  <c r="E477" i="2"/>
  <c r="B476" i="2"/>
  <c r="C475" i="2"/>
  <c r="D474" i="2"/>
  <c r="E473" i="2"/>
  <c r="B472" i="2"/>
  <c r="C471" i="2"/>
  <c r="D470" i="2"/>
  <c r="E469" i="2"/>
  <c r="B468" i="2"/>
  <c r="C467" i="2"/>
  <c r="D466" i="2"/>
  <c r="E465" i="2"/>
  <c r="B464" i="2"/>
  <c r="C463" i="2"/>
  <c r="D462" i="2"/>
  <c r="E461" i="2"/>
  <c r="B460" i="2"/>
  <c r="C459" i="2"/>
  <c r="D458" i="2"/>
  <c r="E457" i="2"/>
  <c r="B456" i="2"/>
  <c r="C455" i="2"/>
  <c r="D454" i="2"/>
  <c r="E453" i="2"/>
  <c r="B452" i="2"/>
  <c r="C451" i="2"/>
  <c r="D450" i="2"/>
  <c r="E449" i="2"/>
  <c r="B448" i="2"/>
  <c r="C447" i="2"/>
  <c r="D446" i="2"/>
  <c r="E445" i="2"/>
  <c r="B444" i="2"/>
  <c r="C443" i="2"/>
  <c r="D442" i="2"/>
  <c r="E441" i="2"/>
  <c r="B440" i="2"/>
  <c r="C439" i="2"/>
  <c r="D438" i="2"/>
  <c r="H536" i="2"/>
  <c r="C533" i="2"/>
  <c r="G529" i="2"/>
  <c r="B525" i="2"/>
  <c r="F521" i="2"/>
  <c r="J517" i="2"/>
  <c r="E513" i="2"/>
  <c r="I509" i="2"/>
  <c r="D506" i="2"/>
  <c r="C499" i="2"/>
  <c r="B492" i="2"/>
  <c r="E481" i="2"/>
  <c r="B475" i="2"/>
  <c r="C474" i="2"/>
  <c r="D473" i="2"/>
  <c r="E472" i="2"/>
  <c r="B467" i="2"/>
  <c r="C466" i="2"/>
  <c r="D465" i="2"/>
  <c r="E464" i="2"/>
  <c r="B459" i="2"/>
  <c r="C458" i="2"/>
  <c r="D457" i="2"/>
  <c r="E456" i="2"/>
  <c r="B451" i="2"/>
  <c r="C450" i="2"/>
  <c r="D449" i="2"/>
  <c r="E448" i="2"/>
  <c r="B443" i="2"/>
  <c r="C442" i="2"/>
  <c r="D441" i="2"/>
  <c r="E440" i="2"/>
  <c r="C437" i="2"/>
  <c r="E435" i="2"/>
  <c r="D536" i="2"/>
  <c r="H532" i="2"/>
  <c r="C529" i="2"/>
  <c r="G524" i="2"/>
  <c r="B521" i="2"/>
  <c r="F517" i="2"/>
  <c r="J512" i="2"/>
  <c r="E509" i="2"/>
  <c r="D502" i="2"/>
  <c r="C495" i="2"/>
  <c r="B488" i="2"/>
  <c r="E479" i="2"/>
  <c r="B474" i="2"/>
  <c r="C473" i="2"/>
  <c r="D472" i="2"/>
  <c r="E471" i="2"/>
  <c r="B466" i="2"/>
  <c r="C465" i="2"/>
  <c r="D464" i="2"/>
  <c r="E463" i="2"/>
  <c r="B458" i="2"/>
  <c r="C457" i="2"/>
  <c r="D456" i="2"/>
  <c r="E455" i="2"/>
  <c r="B450" i="2"/>
  <c r="C449" i="2"/>
  <c r="D448" i="2"/>
  <c r="E447" i="2"/>
  <c r="B442" i="2"/>
  <c r="C441" i="2"/>
  <c r="D440" i="2"/>
  <c r="E439" i="2"/>
  <c r="E436" i="2"/>
  <c r="C435" i="2"/>
  <c r="C434" i="2"/>
  <c r="D433" i="2"/>
  <c r="E432" i="2"/>
  <c r="B431" i="2"/>
  <c r="C430" i="2"/>
  <c r="D429" i="2"/>
  <c r="E428" i="2"/>
  <c r="B427" i="2"/>
  <c r="C426" i="2"/>
  <c r="D425" i="2"/>
  <c r="E424" i="2"/>
  <c r="B423" i="2"/>
  <c r="C422" i="2"/>
  <c r="D421" i="2"/>
  <c r="E420" i="2"/>
  <c r="B419" i="2"/>
  <c r="C418" i="2"/>
  <c r="D417" i="2"/>
  <c r="E416" i="2"/>
  <c r="B415" i="2"/>
  <c r="C414" i="2"/>
  <c r="D413" i="2"/>
  <c r="E412" i="2"/>
  <c r="B411" i="2"/>
  <c r="C410" i="2"/>
  <c r="D409" i="2"/>
  <c r="E408" i="2"/>
  <c r="B407" i="2"/>
  <c r="C406" i="2"/>
  <c r="D405" i="2"/>
  <c r="E404" i="2"/>
  <c r="B403" i="2"/>
  <c r="C402" i="2"/>
  <c r="D401" i="2"/>
  <c r="E400" i="2"/>
  <c r="B399" i="2"/>
  <c r="C398" i="2"/>
  <c r="D397" i="2"/>
  <c r="E396" i="2"/>
  <c r="B395" i="2"/>
  <c r="C394" i="2"/>
  <c r="D393" i="2"/>
  <c r="E392" i="2"/>
  <c r="B391" i="2"/>
  <c r="C390" i="2"/>
  <c r="D389" i="2"/>
  <c r="E388" i="2"/>
  <c r="B387" i="2"/>
  <c r="C386" i="2"/>
  <c r="D385" i="2"/>
  <c r="E384" i="2"/>
  <c r="J534" i="2"/>
  <c r="E531" i="2"/>
  <c r="I526" i="2"/>
  <c r="D523" i="2"/>
  <c r="H519" i="2"/>
  <c r="C515" i="2"/>
  <c r="G511" i="2"/>
  <c r="B508" i="2"/>
  <c r="E497" i="2"/>
  <c r="D490" i="2"/>
  <c r="C483" i="2"/>
  <c r="B480" i="2"/>
  <c r="B479" i="2"/>
  <c r="C478" i="2"/>
  <c r="D477" i="2"/>
  <c r="E476" i="2"/>
  <c r="B471" i="2"/>
  <c r="C470" i="2"/>
  <c r="D469" i="2"/>
  <c r="E468" i="2"/>
  <c r="B463" i="2"/>
  <c r="C462" i="2"/>
  <c r="D461" i="2"/>
  <c r="E460" i="2"/>
  <c r="B455" i="2"/>
  <c r="C454" i="2"/>
  <c r="D453" i="2"/>
  <c r="E452" i="2"/>
  <c r="B447" i="2"/>
  <c r="C446" i="2"/>
  <c r="D445" i="2"/>
  <c r="E444" i="2"/>
  <c r="B439" i="2"/>
  <c r="C438" i="2"/>
  <c r="E437" i="2"/>
  <c r="D436" i="2"/>
  <c r="B435" i="2"/>
  <c r="B434" i="2"/>
  <c r="C433" i="2"/>
  <c r="D432" i="2"/>
  <c r="E431" i="2"/>
  <c r="B430" i="2"/>
  <c r="C429" i="2"/>
  <c r="D428" i="2"/>
  <c r="E427" i="2"/>
  <c r="B426" i="2"/>
  <c r="C425" i="2"/>
  <c r="D424" i="2"/>
  <c r="E423" i="2"/>
  <c r="B422" i="2"/>
  <c r="C421" i="2"/>
  <c r="D420" i="2"/>
  <c r="E419" i="2"/>
  <c r="B418" i="2"/>
  <c r="C417" i="2"/>
  <c r="D416" i="2"/>
  <c r="E415" i="2"/>
  <c r="B414" i="2"/>
  <c r="C413" i="2"/>
  <c r="D412" i="2"/>
  <c r="E411" i="2"/>
  <c r="B410" i="2"/>
  <c r="C409" i="2"/>
  <c r="F534" i="2"/>
  <c r="D519" i="2"/>
  <c r="B504" i="2"/>
  <c r="E475" i="2"/>
  <c r="D468" i="2"/>
  <c r="C461" i="2"/>
  <c r="B454" i="2"/>
  <c r="E443" i="2"/>
  <c r="E434" i="2"/>
  <c r="B429" i="2"/>
  <c r="D427" i="2"/>
  <c r="C420" i="2"/>
  <c r="E418" i="2"/>
  <c r="B413" i="2"/>
  <c r="D411" i="2"/>
  <c r="C408" i="2"/>
  <c r="D407" i="2"/>
  <c r="E406" i="2"/>
  <c r="B401" i="2"/>
  <c r="C400" i="2"/>
  <c r="D399" i="2"/>
  <c r="E398" i="2"/>
  <c r="B393" i="2"/>
  <c r="C392" i="2"/>
  <c r="D391" i="2"/>
  <c r="E390" i="2"/>
  <c r="B385" i="2"/>
  <c r="C384" i="2"/>
  <c r="E382" i="2"/>
  <c r="C381" i="2"/>
  <c r="J530" i="2"/>
  <c r="H514" i="2"/>
  <c r="D486" i="2"/>
  <c r="B478" i="2"/>
  <c r="E467" i="2"/>
  <c r="D460" i="2"/>
  <c r="C453" i="2"/>
  <c r="B446" i="2"/>
  <c r="B436" i="2"/>
  <c r="C432" i="2"/>
  <c r="E430" i="2"/>
  <c r="B425" i="2"/>
  <c r="D423" i="2"/>
  <c r="C416" i="2"/>
  <c r="E414" i="2"/>
  <c r="B409" i="2"/>
  <c r="B406" i="2"/>
  <c r="C405" i="2"/>
  <c r="D404" i="2"/>
  <c r="E403" i="2"/>
  <c r="B398" i="2"/>
  <c r="C397" i="2"/>
  <c r="D396" i="2"/>
  <c r="E395" i="2"/>
  <c r="B390" i="2"/>
  <c r="C389" i="2"/>
  <c r="D388" i="2"/>
  <c r="E387" i="2"/>
  <c r="E383" i="2"/>
  <c r="C382" i="2"/>
  <c r="B381" i="2"/>
  <c r="E380" i="2"/>
  <c r="B379" i="2"/>
  <c r="C378" i="2"/>
  <c r="D377" i="2"/>
  <c r="E376" i="2"/>
  <c r="B375" i="2"/>
  <c r="C374" i="2"/>
  <c r="D373" i="2"/>
  <c r="E372" i="2"/>
  <c r="B371" i="2"/>
  <c r="C370" i="2"/>
  <c r="D369" i="2"/>
  <c r="E368" i="2"/>
  <c r="B367" i="2"/>
  <c r="C366" i="2"/>
  <c r="D365" i="2"/>
  <c r="E364" i="2"/>
  <c r="B363" i="2"/>
  <c r="C362" i="2"/>
  <c r="D361" i="2"/>
  <c r="E360" i="2"/>
  <c r="B359" i="2"/>
  <c r="C358" i="2"/>
  <c r="D357" i="2"/>
  <c r="E356" i="2"/>
  <c r="B355" i="2"/>
  <c r="C354" i="2"/>
  <c r="D353" i="2"/>
  <c r="E352" i="2"/>
  <c r="B351" i="2"/>
  <c r="C350" i="2"/>
  <c r="D349" i="2"/>
  <c r="E348" i="2"/>
  <c r="B347" i="2"/>
  <c r="C346" i="2"/>
  <c r="D345" i="2"/>
  <c r="E344" i="2"/>
  <c r="B343" i="2"/>
  <c r="C342" i="2"/>
  <c r="D341" i="2"/>
  <c r="E340" i="2"/>
  <c r="B339" i="2"/>
  <c r="C338" i="2"/>
  <c r="D337" i="2"/>
  <c r="E336" i="2"/>
  <c r="B335" i="2"/>
  <c r="C334" i="2"/>
  <c r="D333" i="2"/>
  <c r="E332" i="2"/>
  <c r="B331" i="2"/>
  <c r="C330" i="2"/>
  <c r="D329" i="2"/>
  <c r="E328" i="2"/>
  <c r="B327" i="2"/>
  <c r="C326" i="2"/>
  <c r="D325" i="2"/>
  <c r="E324" i="2"/>
  <c r="B323" i="2"/>
  <c r="C322" i="2"/>
  <c r="D321" i="2"/>
  <c r="E320" i="2"/>
  <c r="B319" i="2"/>
  <c r="C318" i="2"/>
  <c r="D317" i="2"/>
  <c r="E316" i="2"/>
  <c r="B315" i="2"/>
  <c r="C314" i="2"/>
  <c r="D313" i="2"/>
  <c r="E312" i="2"/>
  <c r="B311" i="2"/>
  <c r="C310" i="2"/>
  <c r="E526" i="2"/>
  <c r="C511" i="2"/>
  <c r="C477" i="2"/>
  <c r="B470" i="2"/>
  <c r="E459" i="2"/>
  <c r="D452" i="2"/>
  <c r="C445" i="2"/>
  <c r="B438" i="2"/>
  <c r="C428" i="2"/>
  <c r="E426" i="2"/>
  <c r="B421" i="2"/>
  <c r="D419" i="2"/>
  <c r="C412" i="2"/>
  <c r="E410" i="2"/>
  <c r="B405" i="2"/>
  <c r="C404" i="2"/>
  <c r="D403" i="2"/>
  <c r="E402" i="2"/>
  <c r="B397" i="2"/>
  <c r="C396" i="2"/>
  <c r="D395" i="2"/>
  <c r="E394" i="2"/>
  <c r="B389" i="2"/>
  <c r="C388" i="2"/>
  <c r="D387" i="2"/>
  <c r="E386" i="2"/>
  <c r="D383" i="2"/>
  <c r="B382" i="2"/>
  <c r="D380" i="2"/>
  <c r="E379" i="2"/>
  <c r="B378" i="2"/>
  <c r="C377" i="2"/>
  <c r="D376" i="2"/>
  <c r="E375" i="2"/>
  <c r="B374" i="2"/>
  <c r="C373" i="2"/>
  <c r="D372" i="2"/>
  <c r="E371" i="2"/>
  <c r="B370" i="2"/>
  <c r="C369" i="2"/>
  <c r="D368" i="2"/>
  <c r="E367" i="2"/>
  <c r="B366" i="2"/>
  <c r="C365" i="2"/>
  <c r="D364" i="2"/>
  <c r="E363" i="2"/>
  <c r="B362" i="2"/>
  <c r="C361" i="2"/>
  <c r="D360" i="2"/>
  <c r="E359" i="2"/>
  <c r="B358" i="2"/>
  <c r="C357" i="2"/>
  <c r="D356" i="2"/>
  <c r="E355" i="2"/>
  <c r="B354" i="2"/>
  <c r="C353" i="2"/>
  <c r="D352" i="2"/>
  <c r="E351" i="2"/>
  <c r="B350" i="2"/>
  <c r="C349" i="2"/>
  <c r="D348" i="2"/>
  <c r="E347" i="2"/>
  <c r="B346" i="2"/>
  <c r="C345" i="2"/>
  <c r="D344" i="2"/>
  <c r="E343" i="2"/>
  <c r="B342" i="2"/>
  <c r="C341" i="2"/>
  <c r="D340" i="2"/>
  <c r="E339" i="2"/>
  <c r="B338" i="2"/>
  <c r="C337" i="2"/>
  <c r="D336" i="2"/>
  <c r="E335" i="2"/>
  <c r="B334" i="2"/>
  <c r="C333" i="2"/>
  <c r="D332" i="2"/>
  <c r="E331" i="2"/>
  <c r="B330" i="2"/>
  <c r="C329" i="2"/>
  <c r="D328" i="2"/>
  <c r="E327" i="2"/>
  <c r="B326" i="2"/>
  <c r="C325" i="2"/>
  <c r="D324" i="2"/>
  <c r="E323" i="2"/>
  <c r="B322" i="2"/>
  <c r="C321" i="2"/>
  <c r="D320" i="2"/>
  <c r="E319" i="2"/>
  <c r="B318" i="2"/>
  <c r="C317" i="2"/>
  <c r="D316" i="2"/>
  <c r="E315" i="2"/>
  <c r="B314" i="2"/>
  <c r="C313" i="2"/>
  <c r="D312" i="2"/>
  <c r="E311" i="2"/>
  <c r="B310" i="2"/>
  <c r="I522" i="2"/>
  <c r="D476" i="2"/>
  <c r="B462" i="2"/>
  <c r="E407" i="2"/>
  <c r="D400" i="2"/>
  <c r="C393" i="2"/>
  <c r="B386" i="2"/>
  <c r="B383" i="2"/>
  <c r="B377" i="2"/>
  <c r="D375" i="2"/>
  <c r="C368" i="2"/>
  <c r="E366" i="2"/>
  <c r="B361" i="2"/>
  <c r="D359" i="2"/>
  <c r="C352" i="2"/>
  <c r="E350" i="2"/>
  <c r="B345" i="2"/>
  <c r="D343" i="2"/>
  <c r="C336" i="2"/>
  <c r="E334" i="2"/>
  <c r="B329" i="2"/>
  <c r="D327" i="2"/>
  <c r="C320" i="2"/>
  <c r="E318" i="2"/>
  <c r="B313" i="2"/>
  <c r="D311" i="2"/>
  <c r="B309" i="2"/>
  <c r="E308" i="2"/>
  <c r="D307" i="2"/>
  <c r="B306" i="2"/>
  <c r="D304" i="2"/>
  <c r="B303" i="2"/>
  <c r="D301" i="2"/>
  <c r="C300" i="2"/>
  <c r="E298" i="2"/>
  <c r="C297" i="2"/>
  <c r="D444" i="2"/>
  <c r="B433" i="2"/>
  <c r="E399" i="2"/>
  <c r="D392" i="2"/>
  <c r="C385" i="2"/>
  <c r="C380" i="2"/>
  <c r="E378" i="2"/>
  <c r="B373" i="2"/>
  <c r="D371" i="2"/>
  <c r="C364" i="2"/>
  <c r="E362" i="2"/>
  <c r="B357" i="2"/>
  <c r="D355" i="2"/>
  <c r="C348" i="2"/>
  <c r="E346" i="2"/>
  <c r="B341" i="2"/>
  <c r="D339" i="2"/>
  <c r="C332" i="2"/>
  <c r="E330" i="2"/>
  <c r="B325" i="2"/>
  <c r="D323" i="2"/>
  <c r="C316" i="2"/>
  <c r="E314" i="2"/>
  <c r="D308" i="2"/>
  <c r="B307" i="2"/>
  <c r="D305" i="2"/>
  <c r="C304" i="2"/>
  <c r="E302" i="2"/>
  <c r="C301" i="2"/>
  <c r="E299" i="2"/>
  <c r="C298" i="2"/>
  <c r="B297" i="2"/>
  <c r="E296" i="2"/>
  <c r="B295" i="2"/>
  <c r="C294" i="2"/>
  <c r="D293" i="2"/>
  <c r="E292" i="2"/>
  <c r="B291" i="2"/>
  <c r="C290" i="2"/>
  <c r="D289" i="2"/>
  <c r="E288" i="2"/>
  <c r="B287" i="2"/>
  <c r="C286" i="2"/>
  <c r="D285" i="2"/>
  <c r="E284" i="2"/>
  <c r="B283" i="2"/>
  <c r="C282" i="2"/>
  <c r="D281" i="2"/>
  <c r="E280" i="2"/>
  <c r="B279" i="2"/>
  <c r="C278" i="2"/>
  <c r="D277" i="2"/>
  <c r="E276" i="2"/>
  <c r="B275" i="2"/>
  <c r="C274" i="2"/>
  <c r="D273" i="2"/>
  <c r="E272" i="2"/>
  <c r="B271" i="2"/>
  <c r="C270" i="2"/>
  <c r="D269" i="2"/>
  <c r="E268" i="2"/>
  <c r="B267" i="2"/>
  <c r="C266" i="2"/>
  <c r="D265" i="2"/>
  <c r="E264" i="2"/>
  <c r="B263" i="2"/>
  <c r="C262" i="2"/>
  <c r="D261" i="2"/>
  <c r="E260" i="2"/>
  <c r="B259" i="2"/>
  <c r="C258" i="2"/>
  <c r="D257" i="2"/>
  <c r="E256" i="2"/>
  <c r="B255" i="2"/>
  <c r="C254" i="2"/>
  <c r="D253" i="2"/>
  <c r="E252" i="2"/>
  <c r="B251" i="2"/>
  <c r="C250" i="2"/>
  <c r="D249" i="2"/>
  <c r="E248" i="2"/>
  <c r="E493" i="2"/>
  <c r="D431" i="2"/>
  <c r="B417" i="2"/>
  <c r="E391" i="2"/>
  <c r="D384" i="2"/>
  <c r="C376" i="2"/>
  <c r="B369" i="2"/>
  <c r="E358" i="2"/>
  <c r="D351" i="2"/>
  <c r="C344" i="2"/>
  <c r="B337" i="2"/>
  <c r="E326" i="2"/>
  <c r="D319" i="2"/>
  <c r="C312" i="2"/>
  <c r="D309" i="2"/>
  <c r="C308" i="2"/>
  <c r="E303" i="2"/>
  <c r="C302" i="2"/>
  <c r="B301" i="2"/>
  <c r="D296" i="2"/>
  <c r="E295" i="2"/>
  <c r="B290" i="2"/>
  <c r="C289" i="2"/>
  <c r="D288" i="2"/>
  <c r="E287" i="2"/>
  <c r="B282" i="2"/>
  <c r="C281" i="2"/>
  <c r="D280" i="2"/>
  <c r="E279" i="2"/>
  <c r="B274" i="2"/>
  <c r="C273" i="2"/>
  <c r="D272" i="2"/>
  <c r="E271" i="2"/>
  <c r="B266" i="2"/>
  <c r="C265" i="2"/>
  <c r="D264" i="2"/>
  <c r="E263" i="2"/>
  <c r="B258" i="2"/>
  <c r="C257" i="2"/>
  <c r="D256" i="2"/>
  <c r="E255" i="2"/>
  <c r="B250" i="2"/>
  <c r="C249" i="2"/>
  <c r="D248" i="2"/>
  <c r="E246" i="2"/>
  <c r="C245" i="2"/>
  <c r="B244" i="2"/>
  <c r="E243" i="2"/>
  <c r="D242" i="2"/>
  <c r="B241" i="2"/>
  <c r="D239" i="2"/>
  <c r="B238" i="2"/>
  <c r="D236" i="2"/>
  <c r="C235" i="2"/>
  <c r="E233" i="2"/>
  <c r="C232" i="2"/>
  <c r="E230" i="2"/>
  <c r="C229" i="2"/>
  <c r="B228" i="2"/>
  <c r="E227" i="2"/>
  <c r="D226" i="2"/>
  <c r="B225" i="2"/>
  <c r="D223" i="2"/>
  <c r="B222" i="2"/>
  <c r="D220" i="2"/>
  <c r="C219" i="2"/>
  <c r="E451" i="2"/>
  <c r="D415" i="2"/>
  <c r="D379" i="2"/>
  <c r="C372" i="2"/>
  <c r="B365" i="2"/>
  <c r="E354" i="2"/>
  <c r="D347" i="2"/>
  <c r="C340" i="2"/>
  <c r="B333" i="2"/>
  <c r="E322" i="2"/>
  <c r="D315" i="2"/>
  <c r="C309" i="2"/>
  <c r="E304" i="2"/>
  <c r="D303" i="2"/>
  <c r="B302" i="2"/>
  <c r="D297" i="2"/>
  <c r="C296" i="2"/>
  <c r="D295" i="2"/>
  <c r="E294" i="2"/>
  <c r="B289" i="2"/>
  <c r="C288" i="2"/>
  <c r="D287" i="2"/>
  <c r="E286" i="2"/>
  <c r="B281" i="2"/>
  <c r="C280" i="2"/>
  <c r="D279" i="2"/>
  <c r="E278" i="2"/>
  <c r="B273" i="2"/>
  <c r="C272" i="2"/>
  <c r="D271" i="2"/>
  <c r="E270" i="2"/>
  <c r="B265" i="2"/>
  <c r="C264" i="2"/>
  <c r="D263" i="2"/>
  <c r="E262" i="2"/>
  <c r="B257" i="2"/>
  <c r="C256" i="2"/>
  <c r="D255" i="2"/>
  <c r="E254" i="2"/>
  <c r="B249" i="2"/>
  <c r="C248" i="2"/>
  <c r="E247" i="2"/>
  <c r="D246" i="2"/>
  <c r="B245" i="2"/>
  <c r="D243" i="2"/>
  <c r="B242" i="2"/>
  <c r="D240" i="2"/>
  <c r="C239" i="2"/>
  <c r="E237" i="2"/>
  <c r="C236" i="2"/>
  <c r="E234" i="2"/>
  <c r="C233" i="2"/>
  <c r="B232" i="2"/>
  <c r="E231" i="2"/>
  <c r="D230" i="2"/>
  <c r="B229" i="2"/>
  <c r="D227" i="2"/>
  <c r="B226" i="2"/>
  <c r="D224" i="2"/>
  <c r="C223" i="2"/>
  <c r="E221" i="2"/>
  <c r="C220" i="2"/>
  <c r="E218" i="2"/>
  <c r="E217" i="2"/>
  <c r="B216" i="2"/>
  <c r="C215" i="2"/>
  <c r="D214" i="2"/>
  <c r="E213" i="2"/>
  <c r="B212" i="2"/>
  <c r="C211" i="2"/>
  <c r="D210" i="2"/>
  <c r="E209" i="2"/>
  <c r="B208" i="2"/>
  <c r="C207" i="2"/>
  <c r="D206" i="2"/>
  <c r="E205" i="2"/>
  <c r="B204" i="2"/>
  <c r="C203" i="2"/>
  <c r="D202" i="2"/>
  <c r="E201" i="2"/>
  <c r="B200" i="2"/>
  <c r="C199" i="2"/>
  <c r="D198" i="2"/>
  <c r="E197" i="2"/>
  <c r="B196" i="2"/>
  <c r="C195" i="2"/>
  <c r="D194" i="2"/>
  <c r="E193" i="2"/>
  <c r="B192" i="2"/>
  <c r="C191" i="2"/>
  <c r="D190" i="2"/>
  <c r="E189" i="2"/>
  <c r="B188" i="2"/>
  <c r="C187" i="2"/>
  <c r="D186" i="2"/>
  <c r="E185" i="2"/>
  <c r="B184" i="2"/>
  <c r="C183" i="2"/>
  <c r="D182" i="2"/>
  <c r="E181" i="2"/>
  <c r="B180" i="2"/>
  <c r="C179" i="2"/>
  <c r="D178" i="2"/>
  <c r="E177" i="2"/>
  <c r="B176" i="2"/>
  <c r="C175" i="2"/>
  <c r="D174" i="2"/>
  <c r="E173" i="2"/>
  <c r="B172" i="2"/>
  <c r="C171" i="2"/>
  <c r="D170" i="2"/>
  <c r="E169" i="2"/>
  <c r="B168" i="2"/>
  <c r="C167" i="2"/>
  <c r="D166" i="2"/>
  <c r="E165" i="2"/>
  <c r="B164" i="2"/>
  <c r="C163" i="2"/>
  <c r="D162" i="2"/>
  <c r="E161" i="2"/>
  <c r="B160" i="2"/>
  <c r="C159" i="2"/>
  <c r="D158" i="2"/>
  <c r="E157" i="2"/>
  <c r="B156" i="2"/>
  <c r="C155" i="2"/>
  <c r="D154" i="2"/>
  <c r="E153" i="2"/>
  <c r="B152" i="2"/>
  <c r="C151" i="2"/>
  <c r="D150" i="2"/>
  <c r="E149" i="2"/>
  <c r="B148" i="2"/>
  <c r="C147" i="2"/>
  <c r="D146" i="2"/>
  <c r="E145" i="2"/>
  <c r="B144" i="2"/>
  <c r="C143" i="2"/>
  <c r="D142" i="2"/>
  <c r="E141" i="2"/>
  <c r="B140" i="2"/>
  <c r="C139" i="2"/>
  <c r="D138" i="2"/>
  <c r="E137" i="2"/>
  <c r="B136" i="2"/>
  <c r="C135" i="2"/>
  <c r="D134" i="2"/>
  <c r="E133" i="2"/>
  <c r="B132" i="2"/>
  <c r="C131" i="2"/>
  <c r="D130" i="2"/>
  <c r="E129" i="2"/>
  <c r="B128" i="2"/>
  <c r="C127" i="2"/>
  <c r="D126" i="2"/>
  <c r="E125" i="2"/>
  <c r="B124" i="2"/>
  <c r="C123" i="2"/>
  <c r="D122" i="2"/>
  <c r="E121" i="2"/>
  <c r="B120" i="2"/>
  <c r="C119" i="2"/>
  <c r="D118" i="2"/>
  <c r="E117" i="2"/>
  <c r="B116" i="2"/>
  <c r="C115" i="2"/>
  <c r="D114" i="2"/>
  <c r="E113" i="2"/>
  <c r="B112" i="2"/>
  <c r="C111" i="2"/>
  <c r="D110" i="2"/>
  <c r="E109" i="2"/>
  <c r="B108" i="2"/>
  <c r="C107" i="2"/>
  <c r="D106" i="2"/>
  <c r="E105" i="2"/>
  <c r="B104" i="2"/>
  <c r="C103" i="2"/>
  <c r="D102" i="2"/>
  <c r="E101" i="2"/>
  <c r="B100" i="2"/>
  <c r="C99" i="2"/>
  <c r="D98" i="2"/>
  <c r="E97" i="2"/>
  <c r="B96" i="2"/>
  <c r="C95" i="2"/>
  <c r="D94" i="2"/>
  <c r="E93" i="2"/>
  <c r="B92" i="2"/>
  <c r="C91" i="2"/>
  <c r="D90" i="2"/>
  <c r="E89" i="2"/>
  <c r="B88" i="2"/>
  <c r="C87" i="2"/>
  <c r="D86" i="2"/>
  <c r="E85" i="2"/>
  <c r="B84" i="2"/>
  <c r="C83" i="2"/>
  <c r="D82" i="2"/>
  <c r="E81" i="2"/>
  <c r="B80" i="2"/>
  <c r="C79" i="2"/>
  <c r="D78" i="2"/>
  <c r="E77" i="2"/>
  <c r="B76" i="2"/>
  <c r="C75" i="2"/>
  <c r="D74" i="2"/>
  <c r="E73" i="2"/>
  <c r="B72" i="2"/>
  <c r="C71" i="2"/>
  <c r="D70" i="2"/>
  <c r="E69" i="2"/>
  <c r="C469" i="2"/>
  <c r="C424" i="2"/>
  <c r="B402" i="2"/>
  <c r="E374" i="2"/>
  <c r="D367" i="2"/>
  <c r="C360" i="2"/>
  <c r="B353" i="2"/>
  <c r="E342" i="2"/>
  <c r="D335" i="2"/>
  <c r="C328" i="2"/>
  <c r="B321" i="2"/>
  <c r="E310" i="2"/>
  <c r="E306" i="2"/>
  <c r="C305" i="2"/>
  <c r="E300" i="2"/>
  <c r="D299" i="2"/>
  <c r="B298" i="2"/>
  <c r="B294" i="2"/>
  <c r="C293" i="2"/>
  <c r="D292" i="2"/>
  <c r="E291" i="2"/>
  <c r="B286" i="2"/>
  <c r="C285" i="2"/>
  <c r="D284" i="2"/>
  <c r="E283" i="2"/>
  <c r="B278" i="2"/>
  <c r="C277" i="2"/>
  <c r="D276" i="2"/>
  <c r="E275" i="2"/>
  <c r="B270" i="2"/>
  <c r="C269" i="2"/>
  <c r="D268" i="2"/>
  <c r="E267" i="2"/>
  <c r="B262" i="2"/>
  <c r="C261" i="2"/>
  <c r="D260" i="2"/>
  <c r="E259" i="2"/>
  <c r="B254" i="2"/>
  <c r="C253" i="2"/>
  <c r="D252" i="2"/>
  <c r="E251" i="2"/>
  <c r="D247" i="2"/>
  <c r="B246" i="2"/>
  <c r="D244" i="2"/>
  <c r="C243" i="2"/>
  <c r="E241" i="2"/>
  <c r="C240" i="2"/>
  <c r="E238" i="2"/>
  <c r="C237" i="2"/>
  <c r="B236" i="2"/>
  <c r="E235" i="2"/>
  <c r="D234" i="2"/>
  <c r="B233" i="2"/>
  <c r="D231" i="2"/>
  <c r="B230" i="2"/>
  <c r="D228" i="2"/>
  <c r="C227" i="2"/>
  <c r="E225" i="2"/>
  <c r="C224" i="2"/>
  <c r="E222" i="2"/>
  <c r="C221" i="2"/>
  <c r="B220" i="2"/>
  <c r="E219" i="2"/>
  <c r="D218" i="2"/>
  <c r="D217" i="2"/>
  <c r="E216" i="2"/>
  <c r="B215" i="2"/>
  <c r="C214" i="2"/>
  <c r="D213" i="2"/>
  <c r="E212" i="2"/>
  <c r="B211" i="2"/>
  <c r="C210" i="2"/>
  <c r="D209" i="2"/>
  <c r="E208" i="2"/>
  <c r="B207" i="2"/>
  <c r="C206" i="2"/>
  <c r="D205" i="2"/>
  <c r="E204" i="2"/>
  <c r="B203" i="2"/>
  <c r="C202" i="2"/>
  <c r="D201" i="2"/>
  <c r="E200" i="2"/>
  <c r="B199" i="2"/>
  <c r="C198" i="2"/>
  <c r="D197" i="2"/>
  <c r="E196" i="2"/>
  <c r="B195" i="2"/>
  <c r="C194" i="2"/>
  <c r="D193" i="2"/>
  <c r="E192" i="2"/>
  <c r="B191" i="2"/>
  <c r="C190" i="2"/>
  <c r="D189" i="2"/>
  <c r="E188" i="2"/>
  <c r="B187" i="2"/>
  <c r="C186" i="2"/>
  <c r="D185" i="2"/>
  <c r="E184" i="2"/>
  <c r="B183" i="2"/>
  <c r="C182" i="2"/>
  <c r="D181" i="2"/>
  <c r="E180" i="2"/>
  <c r="B179" i="2"/>
  <c r="C178" i="2"/>
  <c r="D177" i="2"/>
  <c r="E176" i="2"/>
  <c r="B175" i="2"/>
  <c r="C174" i="2"/>
  <c r="D173" i="2"/>
  <c r="E172" i="2"/>
  <c r="B171" i="2"/>
  <c r="C170" i="2"/>
  <c r="D169" i="2"/>
  <c r="C401" i="2"/>
  <c r="D363" i="2"/>
  <c r="B349" i="2"/>
  <c r="B299" i="2"/>
  <c r="D291" i="2"/>
  <c r="C284" i="2"/>
  <c r="B277" i="2"/>
  <c r="E266" i="2"/>
  <c r="D259" i="2"/>
  <c r="C252" i="2"/>
  <c r="C241" i="2"/>
  <c r="B234" i="2"/>
  <c r="E229" i="2"/>
  <c r="D222" i="2"/>
  <c r="B214" i="2"/>
  <c r="D212" i="2"/>
  <c r="C205" i="2"/>
  <c r="E203" i="2"/>
  <c r="B198" i="2"/>
  <c r="D196" i="2"/>
  <c r="C189" i="2"/>
  <c r="E187" i="2"/>
  <c r="B182" i="2"/>
  <c r="D180" i="2"/>
  <c r="C173" i="2"/>
  <c r="E171" i="2"/>
  <c r="D168" i="2"/>
  <c r="E167" i="2"/>
  <c r="B162" i="2"/>
  <c r="C161" i="2"/>
  <c r="D160" i="2"/>
  <c r="E159" i="2"/>
  <c r="B154" i="2"/>
  <c r="C153" i="2"/>
  <c r="D152" i="2"/>
  <c r="E151" i="2"/>
  <c r="B146" i="2"/>
  <c r="C145" i="2"/>
  <c r="D144" i="2"/>
  <c r="E143" i="2"/>
  <c r="B138" i="2"/>
  <c r="C137" i="2"/>
  <c r="D136" i="2"/>
  <c r="E135" i="2"/>
  <c r="B130" i="2"/>
  <c r="C129" i="2"/>
  <c r="D128" i="2"/>
  <c r="E127" i="2"/>
  <c r="B122" i="2"/>
  <c r="C121" i="2"/>
  <c r="D120" i="2"/>
  <c r="E119" i="2"/>
  <c r="B114" i="2"/>
  <c r="C113" i="2"/>
  <c r="D112" i="2"/>
  <c r="E111" i="2"/>
  <c r="B106" i="2"/>
  <c r="C105" i="2"/>
  <c r="D104" i="2"/>
  <c r="E103" i="2"/>
  <c r="B98" i="2"/>
  <c r="C97" i="2"/>
  <c r="D96" i="2"/>
  <c r="E95" i="2"/>
  <c r="B90" i="2"/>
  <c r="C89" i="2"/>
  <c r="D88" i="2"/>
  <c r="E87" i="2"/>
  <c r="B82" i="2"/>
  <c r="C81" i="2"/>
  <c r="D80" i="2"/>
  <c r="E79" i="2"/>
  <c r="B74" i="2"/>
  <c r="C73" i="2"/>
  <c r="D72" i="2"/>
  <c r="E71" i="2"/>
  <c r="D437" i="2"/>
  <c r="B394" i="2"/>
  <c r="D331" i="2"/>
  <c r="B317" i="2"/>
  <c r="E307" i="2"/>
  <c r="E290" i="2"/>
  <c r="D283" i="2"/>
  <c r="C276" i="2"/>
  <c r="B269" i="2"/>
  <c r="E258" i="2"/>
  <c r="D251" i="2"/>
  <c r="E245" i="2"/>
  <c r="D238" i="2"/>
  <c r="C231" i="2"/>
  <c r="E226" i="2"/>
  <c r="B224" i="2"/>
  <c r="D219" i="2"/>
  <c r="C217" i="2"/>
  <c r="E215" i="2"/>
  <c r="B210" i="2"/>
  <c r="D208" i="2"/>
  <c r="C201" i="2"/>
  <c r="E199" i="2"/>
  <c r="B194" i="2"/>
  <c r="D192" i="2"/>
  <c r="C185" i="2"/>
  <c r="E183" i="2"/>
  <c r="B178" i="2"/>
  <c r="D176" i="2"/>
  <c r="C169" i="2"/>
  <c r="B167" i="2"/>
  <c r="C166" i="2"/>
  <c r="D165" i="2"/>
  <c r="E164" i="2"/>
  <c r="B159" i="2"/>
  <c r="C158" i="2"/>
  <c r="D157" i="2"/>
  <c r="E156" i="2"/>
  <c r="B151" i="2"/>
  <c r="C150" i="2"/>
  <c r="D149" i="2"/>
  <c r="E148" i="2"/>
  <c r="B143" i="2"/>
  <c r="C142" i="2"/>
  <c r="D141" i="2"/>
  <c r="E140" i="2"/>
  <c r="B135" i="2"/>
  <c r="C134" i="2"/>
  <c r="D133" i="2"/>
  <c r="E132" i="2"/>
  <c r="B127" i="2"/>
  <c r="C126" i="2"/>
  <c r="D125" i="2"/>
  <c r="E124" i="2"/>
  <c r="B119" i="2"/>
  <c r="C118" i="2"/>
  <c r="D117" i="2"/>
  <c r="E116" i="2"/>
  <c r="B111" i="2"/>
  <c r="C110" i="2"/>
  <c r="D109" i="2"/>
  <c r="E108" i="2"/>
  <c r="B103" i="2"/>
  <c r="C102" i="2"/>
  <c r="D101" i="2"/>
  <c r="E100" i="2"/>
  <c r="B95" i="2"/>
  <c r="C94" i="2"/>
  <c r="D93" i="2"/>
  <c r="E92" i="2"/>
  <c r="B87" i="2"/>
  <c r="C86" i="2"/>
  <c r="D85" i="2"/>
  <c r="E84" i="2"/>
  <c r="B79" i="2"/>
  <c r="C78" i="2"/>
  <c r="D77" i="2"/>
  <c r="E76" i="2"/>
  <c r="B71" i="2"/>
  <c r="C70" i="2"/>
  <c r="D69" i="2"/>
  <c r="B68" i="2"/>
  <c r="C67" i="2"/>
  <c r="D66" i="2"/>
  <c r="E65" i="2"/>
  <c r="B64" i="2"/>
  <c r="C63" i="2"/>
  <c r="D62" i="2"/>
  <c r="E61" i="2"/>
  <c r="B60" i="2"/>
  <c r="C59" i="2"/>
  <c r="D58" i="2"/>
  <c r="E57" i="2"/>
  <c r="B56" i="2"/>
  <c r="C55" i="2"/>
  <c r="D54" i="2"/>
  <c r="E53" i="2"/>
  <c r="B52" i="2"/>
  <c r="C51" i="2"/>
  <c r="D50" i="2"/>
  <c r="E49" i="2"/>
  <c r="B48" i="2"/>
  <c r="C47" i="2"/>
  <c r="D46" i="2"/>
  <c r="E45" i="2"/>
  <c r="B44" i="2"/>
  <c r="C43" i="2"/>
  <c r="D42" i="2"/>
  <c r="E41" i="2"/>
  <c r="B40" i="2"/>
  <c r="C39" i="2"/>
  <c r="D38" i="2"/>
  <c r="E37" i="2"/>
  <c r="B36" i="2"/>
  <c r="C35" i="2"/>
  <c r="D34" i="2"/>
  <c r="E33" i="2"/>
  <c r="B32" i="2"/>
  <c r="C31" i="2"/>
  <c r="D30" i="2"/>
  <c r="E29" i="2"/>
  <c r="B28" i="2"/>
  <c r="C27" i="2"/>
  <c r="D26" i="2"/>
  <c r="E25" i="2"/>
  <c r="E422" i="2"/>
  <c r="E370" i="2"/>
  <c r="C356" i="2"/>
  <c r="C306" i="2"/>
  <c r="B293" i="2"/>
  <c r="E282" i="2"/>
  <c r="D275" i="2"/>
  <c r="C268" i="2"/>
  <c r="B261" i="2"/>
  <c r="E250" i="2"/>
  <c r="C247" i="2"/>
  <c r="E242" i="2"/>
  <c r="B240" i="2"/>
  <c r="D235" i="2"/>
  <c r="C228" i="2"/>
  <c r="E223" i="2"/>
  <c r="B221" i="2"/>
  <c r="C213" i="2"/>
  <c r="E211" i="2"/>
  <c r="B206" i="2"/>
  <c r="D204" i="2"/>
  <c r="C197" i="2"/>
  <c r="E195" i="2"/>
  <c r="B190" i="2"/>
  <c r="D188" i="2"/>
  <c r="C181" i="2"/>
  <c r="E179" i="2"/>
  <c r="B174" i="2"/>
  <c r="D172" i="2"/>
  <c r="B166" i="2"/>
  <c r="C165" i="2"/>
  <c r="D164" i="2"/>
  <c r="E163" i="2"/>
  <c r="B158" i="2"/>
  <c r="C157" i="2"/>
  <c r="D156" i="2"/>
  <c r="E155" i="2"/>
  <c r="B150" i="2"/>
  <c r="C149" i="2"/>
  <c r="D148" i="2"/>
  <c r="E147" i="2"/>
  <c r="B142" i="2"/>
  <c r="C141" i="2"/>
  <c r="D140" i="2"/>
  <c r="E139" i="2"/>
  <c r="B134" i="2"/>
  <c r="C133" i="2"/>
  <c r="D132" i="2"/>
  <c r="E131" i="2"/>
  <c r="B126" i="2"/>
  <c r="C125" i="2"/>
  <c r="D124" i="2"/>
  <c r="E123" i="2"/>
  <c r="B118" i="2"/>
  <c r="C117" i="2"/>
  <c r="D116" i="2"/>
  <c r="E115" i="2"/>
  <c r="B110" i="2"/>
  <c r="C109" i="2"/>
  <c r="D108" i="2"/>
  <c r="E107" i="2"/>
  <c r="B102" i="2"/>
  <c r="C101" i="2"/>
  <c r="D100" i="2"/>
  <c r="E99" i="2"/>
  <c r="B94" i="2"/>
  <c r="C93" i="2"/>
  <c r="D92" i="2"/>
  <c r="E91" i="2"/>
  <c r="B86" i="2"/>
  <c r="C85" i="2"/>
  <c r="D84" i="2"/>
  <c r="E83" i="2"/>
  <c r="B78" i="2"/>
  <c r="C77" i="2"/>
  <c r="D76" i="2"/>
  <c r="E75" i="2"/>
  <c r="B70" i="2"/>
  <c r="C69" i="2"/>
  <c r="E68" i="2"/>
  <c r="B67" i="2"/>
  <c r="C66" i="2"/>
  <c r="D65" i="2"/>
  <c r="E64" i="2"/>
  <c r="B63" i="2"/>
  <c r="C62" i="2"/>
  <c r="D61" i="2"/>
  <c r="E60" i="2"/>
  <c r="B59" i="2"/>
  <c r="C58" i="2"/>
  <c r="D57" i="2"/>
  <c r="E56" i="2"/>
  <c r="B55" i="2"/>
  <c r="C54" i="2"/>
  <c r="D53" i="2"/>
  <c r="E52" i="2"/>
  <c r="B51" i="2"/>
  <c r="C50" i="2"/>
  <c r="D49" i="2"/>
  <c r="E48" i="2"/>
  <c r="B47" i="2"/>
  <c r="C46" i="2"/>
  <c r="D45" i="2"/>
  <c r="E44" i="2"/>
  <c r="B43" i="2"/>
  <c r="C42" i="2"/>
  <c r="D41" i="2"/>
  <c r="E40" i="2"/>
  <c r="B39" i="2"/>
  <c r="C38" i="2"/>
  <c r="D37" i="2"/>
  <c r="E36" i="2"/>
  <c r="B35" i="2"/>
  <c r="C34" i="2"/>
  <c r="D33" i="2"/>
  <c r="E32" i="2"/>
  <c r="B31" i="2"/>
  <c r="C30" i="2"/>
  <c r="D29" i="2"/>
  <c r="E28" i="2"/>
  <c r="B27" i="2"/>
  <c r="C26" i="2"/>
  <c r="D25" i="2"/>
  <c r="E24" i="2"/>
  <c r="D408" i="2"/>
  <c r="D381" i="2"/>
  <c r="E338" i="2"/>
  <c r="C324" i="2"/>
  <c r="B305" i="2"/>
  <c r="D300" i="2"/>
  <c r="C292" i="2"/>
  <c r="B285" i="2"/>
  <c r="E274" i="2"/>
  <c r="D267" i="2"/>
  <c r="C260" i="2"/>
  <c r="B253" i="2"/>
  <c r="C244" i="2"/>
  <c r="E239" i="2"/>
  <c r="B237" i="2"/>
  <c r="D232" i="2"/>
  <c r="C225" i="2"/>
  <c r="B218" i="2"/>
  <c r="D216" i="2"/>
  <c r="C209" i="2"/>
  <c r="E207" i="2"/>
  <c r="B202" i="2"/>
  <c r="D200" i="2"/>
  <c r="C193" i="2"/>
  <c r="E191" i="2"/>
  <c r="B186" i="2"/>
  <c r="D184" i="2"/>
  <c r="C177" i="2"/>
  <c r="E175" i="2"/>
  <c r="B170" i="2"/>
  <c r="E168" i="2"/>
  <c r="B163" i="2"/>
  <c r="C162" i="2"/>
  <c r="D161" i="2"/>
  <c r="E160" i="2"/>
  <c r="B155" i="2"/>
  <c r="C154" i="2"/>
  <c r="D153" i="2"/>
  <c r="E152" i="2"/>
  <c r="B147" i="2"/>
  <c r="C146" i="2"/>
  <c r="D145" i="2"/>
  <c r="E144" i="2"/>
  <c r="B139" i="2"/>
  <c r="C138" i="2"/>
  <c r="D137" i="2"/>
  <c r="E136" i="2"/>
  <c r="B131" i="2"/>
  <c r="C130" i="2"/>
  <c r="D129" i="2"/>
  <c r="E128" i="2"/>
  <c r="B123" i="2"/>
  <c r="C122" i="2"/>
  <c r="D121" i="2"/>
  <c r="E120" i="2"/>
  <c r="B115" i="2"/>
  <c r="C114" i="2"/>
  <c r="D113" i="2"/>
  <c r="E112" i="2"/>
  <c r="E104" i="2"/>
  <c r="D97" i="2"/>
  <c r="C90" i="2"/>
  <c r="B83" i="2"/>
  <c r="E72" i="2"/>
  <c r="C65" i="2"/>
  <c r="E63" i="2"/>
  <c r="B58" i="2"/>
  <c r="D56" i="2"/>
  <c r="C49" i="2"/>
  <c r="E47" i="2"/>
  <c r="B42" i="2"/>
  <c r="D40" i="2"/>
  <c r="C33" i="2"/>
  <c r="E31" i="2"/>
  <c r="B26" i="2"/>
  <c r="D24" i="2"/>
  <c r="E23" i="2"/>
  <c r="D22" i="2"/>
  <c r="B21" i="2"/>
  <c r="D19" i="2"/>
  <c r="B18" i="2"/>
  <c r="D16" i="2"/>
  <c r="C15" i="2"/>
  <c r="E13" i="2"/>
  <c r="I4" i="2"/>
  <c r="E4" i="2"/>
  <c r="J3" i="2"/>
  <c r="F3" i="2"/>
  <c r="B3" i="2"/>
  <c r="D4" i="2"/>
  <c r="B107" i="2"/>
  <c r="E96" i="2"/>
  <c r="D89" i="2"/>
  <c r="C82" i="2"/>
  <c r="B75" i="2"/>
  <c r="D68" i="2"/>
  <c r="C61" i="2"/>
  <c r="E59" i="2"/>
  <c r="B54" i="2"/>
  <c r="D52" i="2"/>
  <c r="C45" i="2"/>
  <c r="E43" i="2"/>
  <c r="B38" i="2"/>
  <c r="D36" i="2"/>
  <c r="C29" i="2"/>
  <c r="E27" i="2"/>
  <c r="C24" i="2"/>
  <c r="D23" i="2"/>
  <c r="B22" i="2"/>
  <c r="D20" i="2"/>
  <c r="C19" i="2"/>
  <c r="E17" i="2"/>
  <c r="C16" i="2"/>
  <c r="E14" i="2"/>
  <c r="C13" i="2"/>
  <c r="D12" i="2"/>
  <c r="E11" i="2"/>
  <c r="B10" i="2"/>
  <c r="C9" i="2"/>
  <c r="D8" i="2"/>
  <c r="E7" i="2"/>
  <c r="B6" i="2"/>
  <c r="C5" i="2"/>
  <c r="I3" i="2"/>
  <c r="C106" i="2"/>
  <c r="B99" i="2"/>
  <c r="E88" i="2"/>
  <c r="D81" i="2"/>
  <c r="C74" i="2"/>
  <c r="B66" i="2"/>
  <c r="D64" i="2"/>
  <c r="C57" i="2"/>
  <c r="E55" i="2"/>
  <c r="B50" i="2"/>
  <c r="D48" i="2"/>
  <c r="C41" i="2"/>
  <c r="E39" i="2"/>
  <c r="B34" i="2"/>
  <c r="D32" i="2"/>
  <c r="C25" i="2"/>
  <c r="C23" i="2"/>
  <c r="E21" i="2"/>
  <c r="C20" i="2"/>
  <c r="E18" i="2"/>
  <c r="C17" i="2"/>
  <c r="B16" i="2"/>
  <c r="E15" i="2"/>
  <c r="D14" i="2"/>
  <c r="B13" i="2"/>
  <c r="C12" i="2"/>
  <c r="D11" i="2"/>
  <c r="E10" i="2"/>
  <c r="B9" i="2"/>
  <c r="C8" i="2"/>
  <c r="D7" i="2"/>
  <c r="E6" i="2"/>
  <c r="B5" i="2"/>
  <c r="G4" i="2"/>
  <c r="C4" i="2"/>
  <c r="H3" i="2"/>
  <c r="D3" i="2"/>
  <c r="D105" i="2"/>
  <c r="C98" i="2"/>
  <c r="B91" i="2"/>
  <c r="E80" i="2"/>
  <c r="D73" i="2"/>
  <c r="E67" i="2"/>
  <c r="B62" i="2"/>
  <c r="D60" i="2"/>
  <c r="C53" i="2"/>
  <c r="E51" i="2"/>
  <c r="B46" i="2"/>
  <c r="D44" i="2"/>
  <c r="C37" i="2"/>
  <c r="E35" i="2"/>
  <c r="B30" i="2"/>
  <c r="D28" i="2"/>
  <c r="E22" i="2"/>
  <c r="C21" i="2"/>
  <c r="B20" i="2"/>
  <c r="E19" i="2"/>
  <c r="D18" i="2"/>
  <c r="B17" i="2"/>
  <c r="D15" i="2"/>
  <c r="B14" i="2"/>
  <c r="B12" i="2"/>
  <c r="C11" i="2"/>
  <c r="D10" i="2"/>
  <c r="E9" i="2"/>
  <c r="B8" i="2"/>
  <c r="C7" i="2"/>
  <c r="D6" i="2"/>
  <c r="E5" i="2"/>
  <c r="J4" i="2"/>
  <c r="F4" i="2"/>
  <c r="B4" i="2"/>
  <c r="G3" i="2"/>
  <c r="C3" i="2"/>
  <c r="H4" i="2"/>
  <c r="E3" i="2"/>
</calcChain>
</file>

<file path=xl/sharedStrings.xml><?xml version="1.0" encoding="utf-8"?>
<sst xmlns="http://schemas.openxmlformats.org/spreadsheetml/2006/main" count="546" uniqueCount="545">
  <si>
    <t>Ticker</t>
  </si>
  <si>
    <t>Last Price</t>
  </si>
  <si>
    <t>Last Price (1 Week)</t>
  </si>
  <si>
    <t>Last Price (1 Year)</t>
  </si>
  <si>
    <t>%1D</t>
  </si>
  <si>
    <t>%5D</t>
  </si>
  <si>
    <t>%1M</t>
  </si>
  <si>
    <t>%3M</t>
  </si>
  <si>
    <t>%YTD</t>
  </si>
  <si>
    <t xml:space="preserve">Americas </t>
  </si>
  <si>
    <t>DOW JONES INDUS. AVG</t>
  </si>
  <si>
    <t>S&amp;P 500 INDEX</t>
  </si>
  <si>
    <t>AGILENT TECH INC</t>
  </si>
  <si>
    <t>APPLE INC</t>
  </si>
  <si>
    <t>ABBVIE INC</t>
  </si>
  <si>
    <t>AIRBNB INC-A</t>
  </si>
  <si>
    <t>ABBOTT LABS</t>
  </si>
  <si>
    <t>ARCH CAPITAL GRP</t>
  </si>
  <si>
    <t>ACCENTURE PLC-A</t>
  </si>
  <si>
    <t>ADOBE INC</t>
  </si>
  <si>
    <t>ANALOG DEVICES</t>
  </si>
  <si>
    <t>ARCHER-DANIELS</t>
  </si>
  <si>
    <t>AUTOMATIC DATA</t>
  </si>
  <si>
    <t>AUTODESK INC</t>
  </si>
  <si>
    <t>AMEREN CORP</t>
  </si>
  <si>
    <t>AMERICAN ELECTRI</t>
  </si>
  <si>
    <t>AES CORP</t>
  </si>
  <si>
    <t>AFLAC INC</t>
  </si>
  <si>
    <t>AMERICAN INTERNA</t>
  </si>
  <si>
    <t>ASSURANT INC</t>
  </si>
  <si>
    <t>ARTHUR J GALLAGH</t>
  </si>
  <si>
    <t>AKAMAI TECHNOLOG</t>
  </si>
  <si>
    <t>ALBEMARLE CORP</t>
  </si>
  <si>
    <t>ALIGN TECHNOLOGY</t>
  </si>
  <si>
    <t>ALLSTATE CORP</t>
  </si>
  <si>
    <t>ALLEGION PLC</t>
  </si>
  <si>
    <t>APPLIED MATERIAL</t>
  </si>
  <si>
    <t>AMCOR PLC</t>
  </si>
  <si>
    <t>ADV MICRO DEVICE</t>
  </si>
  <si>
    <t>AMETEK INC</t>
  </si>
  <si>
    <t>AMGEN INC</t>
  </si>
  <si>
    <t>AMERIPRISE FINAN</t>
  </si>
  <si>
    <t>AMERICAN TOWER C</t>
  </si>
  <si>
    <t>AMENTUM HOLDINGS</t>
  </si>
  <si>
    <t>AMAZON.COM INC</t>
  </si>
  <si>
    <t>ARISTA NETWORKS</t>
  </si>
  <si>
    <t>ANSYS INC</t>
  </si>
  <si>
    <t>AON PLC-CLASS A</t>
  </si>
  <si>
    <t>SMITH (A.O.)CORP</t>
  </si>
  <si>
    <t>APA CORP</t>
  </si>
  <si>
    <t>AIR PRODS &amp; CHEM</t>
  </si>
  <si>
    <t>AMPHENOL CORP-A</t>
  </si>
  <si>
    <t>APTIV PLC</t>
  </si>
  <si>
    <t>ALEXANDRIA REAL</t>
  </si>
  <si>
    <t>ATMOS ENERGY</t>
  </si>
  <si>
    <t>AVALONBAY COMMUN</t>
  </si>
  <si>
    <t>BROADCOM INC</t>
  </si>
  <si>
    <t>AVERY DENNISON</t>
  </si>
  <si>
    <t>AMERICAN WATER W</t>
  </si>
  <si>
    <t>AXON ENTERPRISE</t>
  </si>
  <si>
    <t>AMERICAN EXPRESS</t>
  </si>
  <si>
    <t>AUTOZONE INC</t>
  </si>
  <si>
    <t>BOEING CO/THE</t>
  </si>
  <si>
    <t>BANK OF AMERICA</t>
  </si>
  <si>
    <t>BALL CORP</t>
  </si>
  <si>
    <t>BAXTER INTL INC</t>
  </si>
  <si>
    <t>BEST BUY CO INC</t>
  </si>
  <si>
    <t>BECTON DICKINSON</t>
  </si>
  <si>
    <t>FRANKLIN RES INC</t>
  </si>
  <si>
    <t>BROWN-FORMAN -B</t>
  </si>
  <si>
    <t>BUNGE GLOBAL SA</t>
  </si>
  <si>
    <t>BIOGEN INC</t>
  </si>
  <si>
    <t>BANK NY MELLON</t>
  </si>
  <si>
    <t>BOOKING HOLDINGS</t>
  </si>
  <si>
    <t>BAKER HUGHES CO</t>
  </si>
  <si>
    <t>BUILDERS FIRSTSO</t>
  </si>
  <si>
    <t>BLACKROCK INC</t>
  </si>
  <si>
    <t>BRISTOL-MYER SQB</t>
  </si>
  <si>
    <t>BROADRIDGE FINL</t>
  </si>
  <si>
    <t>BERKSHIRE HATH-B</t>
  </si>
  <si>
    <t>BROWN &amp; BROWN</t>
  </si>
  <si>
    <t>BOSTON SCIENTIFC</t>
  </si>
  <si>
    <t>BORGWARNER INC</t>
  </si>
  <si>
    <t>BLACKSTONE INC</t>
  </si>
  <si>
    <t>BXP INC</t>
  </si>
  <si>
    <t>CITIGROUP INC</t>
  </si>
  <si>
    <t>CONAGRA BRANDS I</t>
  </si>
  <si>
    <t>CARDINAL HEALTH</t>
  </si>
  <si>
    <t>CARRIER GLOB</t>
  </si>
  <si>
    <t>CATERPILLAR INC</t>
  </si>
  <si>
    <t>CHUBB LTD</t>
  </si>
  <si>
    <t>CBOE GLOBAL MARK</t>
  </si>
  <si>
    <t>CBRE GROUP INC-A</t>
  </si>
  <si>
    <t>CROWN CASTLE INC</t>
  </si>
  <si>
    <t>CARNIVAL CORP</t>
  </si>
  <si>
    <t>CADENCE DESIGN</t>
  </si>
  <si>
    <t>CDW CORP/DE</t>
  </si>
  <si>
    <t>CELANESE CORP</t>
  </si>
  <si>
    <t>CONSTELLATION EN</t>
  </si>
  <si>
    <t>CF INDUSTRIES HO</t>
  </si>
  <si>
    <t>CITIZENS FINANCI</t>
  </si>
  <si>
    <t>CHURCH &amp; DWIGHT</t>
  </si>
  <si>
    <t>CH ROBINSON</t>
  </si>
  <si>
    <t>CHARTER COMMUN-A</t>
  </si>
  <si>
    <t>THE CIGNA GROUP</t>
  </si>
  <si>
    <t>CINCINNATI FIN</t>
  </si>
  <si>
    <t>COLGATE-PALMOLIV</t>
  </si>
  <si>
    <t>CLOROX CO</t>
  </si>
  <si>
    <t>COMCAST CORP-A</t>
  </si>
  <si>
    <t>CME UW</t>
  </si>
  <si>
    <t>CMG UN</t>
  </si>
  <si>
    <t>CMI UN</t>
  </si>
  <si>
    <t>CMS UN</t>
  </si>
  <si>
    <t>CNC UN</t>
  </si>
  <si>
    <t>CNP UN</t>
  </si>
  <si>
    <t>COF UN</t>
  </si>
  <si>
    <t>COOPER COS INC</t>
  </si>
  <si>
    <t>COP UN</t>
  </si>
  <si>
    <t>COR UN</t>
  </si>
  <si>
    <t>COSTCO WHOLESALE</t>
  </si>
  <si>
    <t>CORPAY INC</t>
  </si>
  <si>
    <t>THE CAMPBELL'S C</t>
  </si>
  <si>
    <t>COPART INC</t>
  </si>
  <si>
    <t>CAMDEN PROP TR</t>
  </si>
  <si>
    <t>CHARLES RIVER LA</t>
  </si>
  <si>
    <t>SALESFORCE INC</t>
  </si>
  <si>
    <t>CRWD UW</t>
  </si>
  <si>
    <t>CSCO UW</t>
  </si>
  <si>
    <t>COSTAR GROUP INC</t>
  </si>
  <si>
    <t>CSX CORP</t>
  </si>
  <si>
    <t>CINTAS CORP</t>
  </si>
  <si>
    <t>CATALENT INC</t>
  </si>
  <si>
    <t>CTRA UN</t>
  </si>
  <si>
    <t>COGNIZANT TECH-A</t>
  </si>
  <si>
    <t>CORTEVA INC</t>
  </si>
  <si>
    <t>CVS HEALTH CORP</t>
  </si>
  <si>
    <t>CVX UN</t>
  </si>
  <si>
    <t>CZR UW</t>
  </si>
  <si>
    <t>DOMINION ENERGY</t>
  </si>
  <si>
    <t>DELTA AIR LI</t>
  </si>
  <si>
    <t>DAYFORCE INC</t>
  </si>
  <si>
    <t>DUPONT DE NEMOUR</t>
  </si>
  <si>
    <t>DEERE &amp; CO</t>
  </si>
  <si>
    <t>DECKERS OUTDOOR</t>
  </si>
  <si>
    <t>DELL UN</t>
  </si>
  <si>
    <t>DISCOVER FINANCI</t>
  </si>
  <si>
    <t>DOLLAR GENERAL C</t>
  </si>
  <si>
    <t>QUEST DIAGNOSTIC</t>
  </si>
  <si>
    <t>DR HORTON INC</t>
  </si>
  <si>
    <t>DANAHER CORP</t>
  </si>
  <si>
    <t>WALT DISNEY CO/T</t>
  </si>
  <si>
    <t>DIGITAL REALTY</t>
  </si>
  <si>
    <t>DOLLAR TREE INC</t>
  </si>
  <si>
    <t>HEALTHPEAK PROPE</t>
  </si>
  <si>
    <t>DOVER CORP</t>
  </si>
  <si>
    <t>DOW INC</t>
  </si>
  <si>
    <t>DOMINO'S PIZZA</t>
  </si>
  <si>
    <t>DARDEN RESTAURAN</t>
  </si>
  <si>
    <t>DTE ENERGY CO</t>
  </si>
  <si>
    <t>DUKE ENERGY CORP</t>
  </si>
  <si>
    <t>DAVITA INC</t>
  </si>
  <si>
    <t>DEVON ENERGY CO</t>
  </si>
  <si>
    <t>DEXCOM</t>
  </si>
  <si>
    <t>ELECTRONIC ARTS</t>
  </si>
  <si>
    <t>EBAY INC</t>
  </si>
  <si>
    <t>ECOLAB INC</t>
  </si>
  <si>
    <t>CONS EDISON INC</t>
  </si>
  <si>
    <t>EQUIFAX INC</t>
  </si>
  <si>
    <t>EVEREST GROUP LT</t>
  </si>
  <si>
    <t>EDISON INTL</t>
  </si>
  <si>
    <t>ESTEE LAUDER</t>
  </si>
  <si>
    <t>ELEVANCE HEALTH</t>
  </si>
  <si>
    <t>EASTMAN CHEMICAL</t>
  </si>
  <si>
    <t>EMERSON ELEC CO</t>
  </si>
  <si>
    <t>ENPHASE ENERGY</t>
  </si>
  <si>
    <t>EOG RESOURCES</t>
  </si>
  <si>
    <t>EPAM SYSTEMS INC</t>
  </si>
  <si>
    <t>EQUINIX INC</t>
  </si>
  <si>
    <t>EQUITY RESIDENTI</t>
  </si>
  <si>
    <t>EQT CORP</t>
  </si>
  <si>
    <t>ERIE INDEMNITY-A</t>
  </si>
  <si>
    <t>EVERSOURCE ENERG</t>
  </si>
  <si>
    <t>ESSEX PROPERTY</t>
  </si>
  <si>
    <t>EATON CORP PLC</t>
  </si>
  <si>
    <t>ENTERGY CORP</t>
  </si>
  <si>
    <t>EVERGY INC</t>
  </si>
  <si>
    <t>EDWARDS LIFE</t>
  </si>
  <si>
    <t>EXELON CORP</t>
  </si>
  <si>
    <t>EXPEDITORS INTL</t>
  </si>
  <si>
    <t>EXPEDIA GROUP IN</t>
  </si>
  <si>
    <t>EXTRA SPACE STOR</t>
  </si>
  <si>
    <t>FORD MOTOR CO</t>
  </si>
  <si>
    <t>DIAMONDBACK ENER</t>
  </si>
  <si>
    <t>FASTENAL CO</t>
  </si>
  <si>
    <t>FREEPORT-MCMORAN</t>
  </si>
  <si>
    <t>FACTSET RESEARCH</t>
  </si>
  <si>
    <t>FEDEX CORP</t>
  </si>
  <si>
    <t>FIRSTENERGY CORP</t>
  </si>
  <si>
    <t>F5 INC</t>
  </si>
  <si>
    <t>FISERV INC</t>
  </si>
  <si>
    <t>FAIR ISAAC CORP</t>
  </si>
  <si>
    <t>FIDELITY NATIONA</t>
  </si>
  <si>
    <t>FIFTH THIRD BANC</t>
  </si>
  <si>
    <t>FMC CORP</t>
  </si>
  <si>
    <t>FOX CORP - B</t>
  </si>
  <si>
    <t>FOX CORP - A</t>
  </si>
  <si>
    <t>FED REALTY INVS</t>
  </si>
  <si>
    <t>FIRST SOLAR INC</t>
  </si>
  <si>
    <t>FORTINET INC</t>
  </si>
  <si>
    <t>FORTIVE CORP</t>
  </si>
  <si>
    <t>GENERAL DYNAMICS</t>
  </si>
  <si>
    <t>GODADDY INC-A</t>
  </si>
  <si>
    <t>GENERAL ELECTRIC</t>
  </si>
  <si>
    <t>GE HEALTHCARE TE</t>
  </si>
  <si>
    <t>GEN DIGITAL INC</t>
  </si>
  <si>
    <t>GE VERNOVA INC</t>
  </si>
  <si>
    <t>GILEAD SCIENCES</t>
  </si>
  <si>
    <t>GENERAL MILLS IN</t>
  </si>
  <si>
    <t>GLOBE LIFE INC</t>
  </si>
  <si>
    <t>CORNING INC</t>
  </si>
  <si>
    <t>GENERAL MOTORS C</t>
  </si>
  <si>
    <t>GENERAC HOLDINGS</t>
  </si>
  <si>
    <t>ALPHABET INC-C</t>
  </si>
  <si>
    <t>ALPHABET INC-A</t>
  </si>
  <si>
    <t>GENUINE PARTS CO</t>
  </si>
  <si>
    <t>GLOBAL PAYMENTS</t>
  </si>
  <si>
    <t>GARMIN LTD</t>
  </si>
  <si>
    <t>GOLDMAN SACHS GP</t>
  </si>
  <si>
    <t>WW GRAINGER INC</t>
  </si>
  <si>
    <t>HALLIBURTON CO</t>
  </si>
  <si>
    <t>HASBRO INC</t>
  </si>
  <si>
    <t>HUNTINGTON BANC</t>
  </si>
  <si>
    <t>HCA HEALTHCARE I</t>
  </si>
  <si>
    <t>HOME DEPOT INC</t>
  </si>
  <si>
    <t>HESS CORP</t>
  </si>
  <si>
    <t>HARTFORD FINL SV</t>
  </si>
  <si>
    <t>HUNTINGTON INGAL</t>
  </si>
  <si>
    <t>HILTON WORLDWIDE</t>
  </si>
  <si>
    <t>HOLOGIC INC</t>
  </si>
  <si>
    <t>HONEYWELL INTL</t>
  </si>
  <si>
    <t>HEWLETT PACKA</t>
  </si>
  <si>
    <t>HP INC</t>
  </si>
  <si>
    <t>HORMEL FOODS CRP</t>
  </si>
  <si>
    <t>HENRY SCHEIN INC</t>
  </si>
  <si>
    <t>HOST HOTELS &amp; RE</t>
  </si>
  <si>
    <t>HERSHEY CO/THE</t>
  </si>
  <si>
    <t>HUBBELL INC</t>
  </si>
  <si>
    <t>HUMANA INC</t>
  </si>
  <si>
    <t>HOWMET AEROSPACE</t>
  </si>
  <si>
    <t>IBM</t>
  </si>
  <si>
    <t>INTERCONTINENTAL</t>
  </si>
  <si>
    <t>IDEXX LABS</t>
  </si>
  <si>
    <t>IDEX CORP</t>
  </si>
  <si>
    <t>INTL FLVR &amp; FRAG</t>
  </si>
  <si>
    <t>INCYTE CORP</t>
  </si>
  <si>
    <t>INTEL CORP</t>
  </si>
  <si>
    <t>INTUIT INC</t>
  </si>
  <si>
    <t>INVITATION HOMES</t>
  </si>
  <si>
    <t>INTL PAPER CO</t>
  </si>
  <si>
    <t>INTERPUBLIC GRP</t>
  </si>
  <si>
    <t>IQVIA HOLDINGS I</t>
  </si>
  <si>
    <t>INGERSOLL-RAND I</t>
  </si>
  <si>
    <t>IRON MOUNTAIN</t>
  </si>
  <si>
    <t>INTUITIVE SURGIC</t>
  </si>
  <si>
    <t>GARTNER INC</t>
  </si>
  <si>
    <t>ILLINOIS TOOL WO</t>
  </si>
  <si>
    <t>INVESCO LTD</t>
  </si>
  <si>
    <t>JACOBS SOLUTIONS</t>
  </si>
  <si>
    <t>HUNT (JB) TRANS</t>
  </si>
  <si>
    <t>JABIL INC</t>
  </si>
  <si>
    <t>JOHNSON CONTROLS</t>
  </si>
  <si>
    <t>JACK HENRY</t>
  </si>
  <si>
    <t>JOHNSON&amp;JOHNSON</t>
  </si>
  <si>
    <t>JUNIPER NETWORKS</t>
  </si>
  <si>
    <t>JPMORGAN CHASE</t>
  </si>
  <si>
    <t>KELLANOVA</t>
  </si>
  <si>
    <t>KEURIG DR PEPPER</t>
  </si>
  <si>
    <t>KEYCORP</t>
  </si>
  <si>
    <t>KEYSIGHT TEC</t>
  </si>
  <si>
    <t>KRAFT HEINZ CO/T</t>
  </si>
  <si>
    <t>KIMCO REALTY</t>
  </si>
  <si>
    <t>KKR &amp; CO INC</t>
  </si>
  <si>
    <t>KLA CORP</t>
  </si>
  <si>
    <t>KIMBERLY-CLARK</t>
  </si>
  <si>
    <t>KINDER MORGAN IN</t>
  </si>
  <si>
    <t>CARMAX INC</t>
  </si>
  <si>
    <t>COCA-COLA CO/THE</t>
  </si>
  <si>
    <t>KROGER CO</t>
  </si>
  <si>
    <t>KENVUE INC</t>
  </si>
  <si>
    <t>LOEWS CORP</t>
  </si>
  <si>
    <t>LEIDOS HOLDINGS</t>
  </si>
  <si>
    <t>LENNAR CORP-A</t>
  </si>
  <si>
    <t>LABCORP HOLDINGS</t>
  </si>
  <si>
    <t>L3HARRIS TECHNOL</t>
  </si>
  <si>
    <t>LINDE PLC</t>
  </si>
  <si>
    <t>LKQ CORP</t>
  </si>
  <si>
    <t>ELI LILLY &amp; CO</t>
  </si>
  <si>
    <t>LOCKHEED MARTIN</t>
  </si>
  <si>
    <t>ALLIANT ENERGY</t>
  </si>
  <si>
    <t>LOWE'S COS INC</t>
  </si>
  <si>
    <t>LAM RESEARCH</t>
  </si>
  <si>
    <t>LULULEMON ATH</t>
  </si>
  <si>
    <t>SOUTHWEST AIR</t>
  </si>
  <si>
    <t>LAS VEGAS SANDS</t>
  </si>
  <si>
    <t>LAMB WESTON</t>
  </si>
  <si>
    <t>LYONDELLBASELL-A</t>
  </si>
  <si>
    <t>LIVE NATION ENTE</t>
  </si>
  <si>
    <t>MASTERCARD INC-A</t>
  </si>
  <si>
    <t>MID-AMERICA APAR</t>
  </si>
  <si>
    <t>MARRIOTT INTL-A</t>
  </si>
  <si>
    <t>MASCO CORP</t>
  </si>
  <si>
    <t>MCDONALDS CORP</t>
  </si>
  <si>
    <t>MICROCHIP TECH</t>
  </si>
  <si>
    <t>MCKESSON CORP</t>
  </si>
  <si>
    <t>MOODY'S CORP</t>
  </si>
  <si>
    <t>MONDELEZ INTER-A</t>
  </si>
  <si>
    <t>MEDTRONIC PLC</t>
  </si>
  <si>
    <t>METLIFE INC</t>
  </si>
  <si>
    <t>META PLATFORMS-A</t>
  </si>
  <si>
    <t>MGM RESORTS INTE</t>
  </si>
  <si>
    <t>MOHAWK INDS</t>
  </si>
  <si>
    <t>MCCORMICK-N/V</t>
  </si>
  <si>
    <t>MARKETAXESS</t>
  </si>
  <si>
    <t>MARTIN MAR MTLS</t>
  </si>
  <si>
    <t>MARSH &amp; MCLENNAN</t>
  </si>
  <si>
    <t>3M CO</t>
  </si>
  <si>
    <t>MONSTER BEVERAGE</t>
  </si>
  <si>
    <t>ALTRIA GROUP INC</t>
  </si>
  <si>
    <t>MOLINA HEALTHCAR</t>
  </si>
  <si>
    <t>MOSAIC CO/THE</t>
  </si>
  <si>
    <t>MARATHON PETROLE</t>
  </si>
  <si>
    <t>MONOLITHIC POWER</t>
  </si>
  <si>
    <t>MERCK &amp; CO</t>
  </si>
  <si>
    <t>MODERNA INC</t>
  </si>
  <si>
    <t>MORGAN STANLEY</t>
  </si>
  <si>
    <t>MSCI INC</t>
  </si>
  <si>
    <t>MICROSOFT CORP</t>
  </si>
  <si>
    <t>MOTOROLA SOLUTIO</t>
  </si>
  <si>
    <t>M&amp;T BANK CORP</t>
  </si>
  <si>
    <t>MATCH GROUP INC</t>
  </si>
  <si>
    <t>METTLER-TOLEDO</t>
  </si>
  <si>
    <t>MICRON TECH</t>
  </si>
  <si>
    <t>NORWEGIAN CRUISE</t>
  </si>
  <si>
    <t>NASDAQ INC</t>
  </si>
  <si>
    <t>NORDSON CORP</t>
  </si>
  <si>
    <t>NEXTERA ENERGY</t>
  </si>
  <si>
    <t>NEWMONT CORP</t>
  </si>
  <si>
    <t>NETFLIX INC</t>
  </si>
  <si>
    <t>NISOURCE INC</t>
  </si>
  <si>
    <t>NIKE INC -CL B</t>
  </si>
  <si>
    <t>NORTHROP GRUMMAN</t>
  </si>
  <si>
    <t>SERVICENOW INC</t>
  </si>
  <si>
    <t>NRG ENERGY</t>
  </si>
  <si>
    <t>NORFOLK SOUTHERN</t>
  </si>
  <si>
    <t>NETAPP INC</t>
  </si>
  <si>
    <t>NORTHERN TRUST</t>
  </si>
  <si>
    <t>NUCOR CORP</t>
  </si>
  <si>
    <t>NVIDIA CORP</t>
  </si>
  <si>
    <t>NVR INC</t>
  </si>
  <si>
    <t>NEWS CORP-CL B</t>
  </si>
  <si>
    <t>NEWS CORP-CL A</t>
  </si>
  <si>
    <t>NXP SEMICONDUCTO</t>
  </si>
  <si>
    <t>REALTY INCOME</t>
  </si>
  <si>
    <t>OLD DOMINION FRT</t>
  </si>
  <si>
    <t>ONEOK INC</t>
  </si>
  <si>
    <t>OMNICOM GROUP</t>
  </si>
  <si>
    <t>ON SEMICONDUCTOR</t>
  </si>
  <si>
    <t>ORACLE CORP</t>
  </si>
  <si>
    <t>O'REILLY AUTOMOT</t>
  </si>
  <si>
    <t>OTIS WORLDWI</t>
  </si>
  <si>
    <t>OCCIDENTAL PETE</t>
  </si>
  <si>
    <t>PALO ALTO NETWOR</t>
  </si>
  <si>
    <t>PARAMOUNT GLOB-B</t>
  </si>
  <si>
    <t>PAYCOM SOFTWARE</t>
  </si>
  <si>
    <t>PAYCHEX INC</t>
  </si>
  <si>
    <t>PACCAR INC</t>
  </si>
  <si>
    <t>PG&amp;E CORP</t>
  </si>
  <si>
    <t>PUB SERV ENTERP</t>
  </si>
  <si>
    <t>PEPSICO INC</t>
  </si>
  <si>
    <t>PFIZER INC</t>
  </si>
  <si>
    <t>PRINCIPAL FINL</t>
  </si>
  <si>
    <t>PROCTER &amp; GAMBLE</t>
  </si>
  <si>
    <t>PROGRESSIVE CORP</t>
  </si>
  <si>
    <t>PARKER HANNIFIN</t>
  </si>
  <si>
    <t>PULTEGROUP INC</t>
  </si>
  <si>
    <t>PACKAGING CORP</t>
  </si>
  <si>
    <t>PROLOGIS INC</t>
  </si>
  <si>
    <t>PALANTIR TECHN-A</t>
  </si>
  <si>
    <t>PHILIP MORRIS IN</t>
  </si>
  <si>
    <t>PNC FINANCIAL SE</t>
  </si>
  <si>
    <t>PENTAIR PLC</t>
  </si>
  <si>
    <t>PINNACLE WEST</t>
  </si>
  <si>
    <t>INSULET CORP</t>
  </si>
  <si>
    <t>POOL CORP</t>
  </si>
  <si>
    <t>PPG INDS INC</t>
  </si>
  <si>
    <t>PPL CORP</t>
  </si>
  <si>
    <t>PRUDENTL FINL</t>
  </si>
  <si>
    <t>PUBLIC STORAGE</t>
  </si>
  <si>
    <t>PHILLIPS 66</t>
  </si>
  <si>
    <t>PTC INC</t>
  </si>
  <si>
    <t>QUANTA SERVICES</t>
  </si>
  <si>
    <t>PAYPAL HOLDINGS</t>
  </si>
  <si>
    <t>QUALCOMM INC</t>
  </si>
  <si>
    <t>QORVO INC</t>
  </si>
  <si>
    <t>ROYAL CARIBBEAN</t>
  </si>
  <si>
    <t>REGENCY CENTERS</t>
  </si>
  <si>
    <t>REGENERON PHARM</t>
  </si>
  <si>
    <t>REGIONS FINANCIA</t>
  </si>
  <si>
    <t>RAYMOND JAMES</t>
  </si>
  <si>
    <t>RALPH LAUREN COR</t>
  </si>
  <si>
    <t>RESMED INC</t>
  </si>
  <si>
    <t>ROCKWELL AUTOMAT</t>
  </si>
  <si>
    <t>ROLLINS INC</t>
  </si>
  <si>
    <t>ROPER TECHNOLOGI</t>
  </si>
  <si>
    <t>ROSS STORES INC</t>
  </si>
  <si>
    <t>REPUBLIC SVCS</t>
  </si>
  <si>
    <t>RTX CORP</t>
  </si>
  <si>
    <t>REVVITY INC</t>
  </si>
  <si>
    <t>SBA COMM CORP</t>
  </si>
  <si>
    <t>STARBUCKS CORP</t>
  </si>
  <si>
    <t>SCHWAB (CHARLES)</t>
  </si>
  <si>
    <t>SHERWIN-WILLIAMS</t>
  </si>
  <si>
    <t>JM SMUCKER CO</t>
  </si>
  <si>
    <t>SCHLUMBERGER LTD</t>
  </si>
  <si>
    <t>SUPER MICRO COMP</t>
  </si>
  <si>
    <t>SNAP-ON INC</t>
  </si>
  <si>
    <t>SYNOPSYS INC</t>
  </si>
  <si>
    <t>SOUTHERN CO</t>
  </si>
  <si>
    <t>SOLVENTUM</t>
  </si>
  <si>
    <t>SIMON PROPERTY</t>
  </si>
  <si>
    <t>SPGI UN</t>
  </si>
  <si>
    <t>SRE UN</t>
  </si>
  <si>
    <t>STE UN</t>
  </si>
  <si>
    <t>STLD UW</t>
  </si>
  <si>
    <t>STT UN</t>
  </si>
  <si>
    <t>STX UW</t>
  </si>
  <si>
    <t>STZ UN</t>
  </si>
  <si>
    <t>SW UN</t>
  </si>
  <si>
    <t>STANLEY BLACK &amp;</t>
  </si>
  <si>
    <t>SKYWORKS SOLUTIO</t>
  </si>
  <si>
    <t>SYNCHRONY FINANC</t>
  </si>
  <si>
    <t>STRYKER CORP</t>
  </si>
  <si>
    <t>SYSCO CORP</t>
  </si>
  <si>
    <t>AT&amp;T INC</t>
  </si>
  <si>
    <t>MOLSON COORS-B</t>
  </si>
  <si>
    <t>TRANSDIGM GROUP</t>
  </si>
  <si>
    <t>TELEDYNE TECH</t>
  </si>
  <si>
    <t>BIO-TECHNE CORP</t>
  </si>
  <si>
    <t>TE CONNECTIVITY</t>
  </si>
  <si>
    <t>TERADYNE INC</t>
  </si>
  <si>
    <t>TRUIST FINANCIAL</t>
  </si>
  <si>
    <t>TELEFLEX INC</t>
  </si>
  <si>
    <t>TARGET CORP</t>
  </si>
  <si>
    <t>TJX COS INC</t>
  </si>
  <si>
    <t>THERMO FISHER</t>
  </si>
  <si>
    <t>T-MOBILE US INC</t>
  </si>
  <si>
    <t>TEXAS PACIFIC LA</t>
  </si>
  <si>
    <t>TAPESTRY INC</t>
  </si>
  <si>
    <t>TARGA RESOURCES</t>
  </si>
  <si>
    <t>TRIMBLE INC</t>
  </si>
  <si>
    <t>T ROWE PRICE GRP</t>
  </si>
  <si>
    <t>TRAVELERS COS IN</t>
  </si>
  <si>
    <t>TRACTOR SUPPLY</t>
  </si>
  <si>
    <t>TESLA INC</t>
  </si>
  <si>
    <t>TYSON FOODS-A</t>
  </si>
  <si>
    <t>TRANE TECHNOLOGI</t>
  </si>
  <si>
    <t>TAKE-TWO INTERAC</t>
  </si>
  <si>
    <t>TEXAS INSTRUMENT</t>
  </si>
  <si>
    <t>TEXTRON INC</t>
  </si>
  <si>
    <t>TYLER TECHNOLOG</t>
  </si>
  <si>
    <t>UNITED AIRLINES</t>
  </si>
  <si>
    <t>UBER TECHNOLOGIE</t>
  </si>
  <si>
    <t>UDR INC</t>
  </si>
  <si>
    <t>UNIVERSAL HLTH-B</t>
  </si>
  <si>
    <t>ULTA BEAUTY INC</t>
  </si>
  <si>
    <t>UNITEDHEALTH GRP</t>
  </si>
  <si>
    <t>UNION PAC CORP</t>
  </si>
  <si>
    <t>UNITED PARCEL-B</t>
  </si>
  <si>
    <t>UNITED RENTALS</t>
  </si>
  <si>
    <t>US BANCORP</t>
  </si>
  <si>
    <t>VISA INC-CLASS A</t>
  </si>
  <si>
    <t>VICI PROPERTIES</t>
  </si>
  <si>
    <t>VALERO ENERGY</t>
  </si>
  <si>
    <t>VERALTO CORP</t>
  </si>
  <si>
    <t>VULCAN MATERIALS</t>
  </si>
  <si>
    <t>VERISK ANALYTI</t>
  </si>
  <si>
    <t>VERISIGN INC</t>
  </si>
  <si>
    <t>VERTEX PHARM</t>
  </si>
  <si>
    <t>VISTRA CORP</t>
  </si>
  <si>
    <t>VENTAS INC</t>
  </si>
  <si>
    <t>VIATRIS INC</t>
  </si>
  <si>
    <t>VERIZON COMMUNIC</t>
  </si>
  <si>
    <t>WABTEC CORP</t>
  </si>
  <si>
    <t>WATERS CORP</t>
  </si>
  <si>
    <t>WBA UW</t>
  </si>
  <si>
    <t>WBD UW</t>
  </si>
  <si>
    <t>WDC UW</t>
  </si>
  <si>
    <t>WEC UN</t>
  </si>
  <si>
    <t>WELL UN</t>
  </si>
  <si>
    <t>WFC UN</t>
  </si>
  <si>
    <t>WM UN</t>
  </si>
  <si>
    <t>WMB UN</t>
  </si>
  <si>
    <t>WMT UN</t>
  </si>
  <si>
    <t>WRB UN</t>
  </si>
  <si>
    <t>WST UN</t>
  </si>
  <si>
    <t>WTW UW</t>
  </si>
  <si>
    <t>WY UN</t>
  </si>
  <si>
    <t>WYNN UW</t>
  </si>
  <si>
    <t>XEL UW</t>
  </si>
  <si>
    <t>EXXON MOBIL CORP</t>
  </si>
  <si>
    <t>XYLEM INC</t>
  </si>
  <si>
    <t>YUM UN</t>
  </si>
  <si>
    <t>ZBH UN</t>
  </si>
  <si>
    <t>ZBRA UW</t>
  </si>
  <si>
    <t>ZTS UN</t>
  </si>
  <si>
    <t>NASDAQ COMPOSITE</t>
  </si>
  <si>
    <t>S&amp;P/TSX COMPOSITE INDEX</t>
  </si>
  <si>
    <t>S&amp;P/BMV IPC</t>
  </si>
  <si>
    <t>BRAZIL IBOVESPA INDEX</t>
  </si>
  <si>
    <t>S&amp;P/CLX IPSA (CLP) TR</t>
  </si>
  <si>
    <t>MSCI COLCAP INDEX</t>
  </si>
  <si>
    <t>S&amp;P MERVAL TR ARS</t>
  </si>
  <si>
    <t>S&amp;P/BVLPeruGeneralTRPEN</t>
  </si>
  <si>
    <t xml:space="preserve">EMEA </t>
  </si>
  <si>
    <t>Euro Stoxx 50 Pr</t>
  </si>
  <si>
    <t>FTSE 100 INDEX</t>
  </si>
  <si>
    <t>CAC 40 INDEX</t>
  </si>
  <si>
    <t>DAX INDEX</t>
  </si>
  <si>
    <t>IBEX 35 INDEX</t>
  </si>
  <si>
    <t>FTSE MIB INDEX</t>
  </si>
  <si>
    <t>AEX-Index</t>
  </si>
  <si>
    <t>OMX STOCKHOLM 30 INDEX</t>
  </si>
  <si>
    <t>SWISS MARKET INDEX</t>
  </si>
  <si>
    <t>RTS Index</t>
  </si>
  <si>
    <t xml:space="preserve">Asia/Pacific </t>
  </si>
  <si>
    <t>NIKKEI 225</t>
  </si>
  <si>
    <t>HANG SENG INDEX</t>
  </si>
  <si>
    <t>CSI 300 INDEX</t>
  </si>
  <si>
    <t>S&amp;P/ASX 200 INDEX</t>
  </si>
  <si>
    <t>KOSPI INDEX</t>
  </si>
  <si>
    <t>Nifty 50</t>
  </si>
  <si>
    <t>TAIWAN TAIEX INDEX</t>
  </si>
  <si>
    <t>JAKARTA COMPOSITE INDEX</t>
  </si>
  <si>
    <t>FTSE Bursa Malaysia KLCI</t>
  </si>
  <si>
    <t>Straits Times Index 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</si>
</sst>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AC09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2" fillId="33" borderId="0"/>
    <xf numFmtId="0" fontId="1" fillId="34" borderId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/>
    <xf numFmtId="0" fontId="1" fillId="34" borderId="0" xfId="27" applyNumberFormat="1" applyFont="1" applyFill="1" applyBorder="1" applyAlignment="1" applyProtection="1"/>
    <xf numFmtId="0" fontId="2" fillId="33" borderId="0" xfId="26" applyNumberFormat="1" applyFont="1" applyFill="1" applyBorder="1" applyAlignment="1" applyProtection="1"/>
    <xf numFmtId="0" fontId="1" fillId="34" borderId="0" xfId="27" applyNumberFormat="1" applyFont="1" applyFill="1" applyBorder="1" applyAlignment="1" applyProtection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blp_row_header" xfId="27"/>
    <cellStyle name="Calculation" xfId="28" builtinId="22" customBuiltin="1"/>
    <cellStyle name="Check Cell" xfId="29" builtinId="23" customBuiltin="1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>
        <v>22.143999999999998</v>
        <stp/>
        <stp>BDP|6685498673793862959|22</stp>
        <stp>L UN Equity</stp>
        <stp>CHG_PCT_YTD_RT</stp>
        <tr r="J282" s="2"/>
      </tp>
      <tp>
        <v>20414.09</v>
        <stp/>
        <stp>BDP|17098946093906753306|22</stp>
        <stp>HSI Index</stp>
        <stp>LAST_PRICE</stp>
        <tr r="C529" s="2"/>
        <tr r="D529" s="2"/>
        <tr r="E529" s="2"/>
        <tr r="B529" s="2"/>
      </tp>
      <tp>
        <v>20.482800000000001</v>
        <stp/>
        <stp>BDP|11071033020796037464|22</stp>
        <stp>MU UW Equity</stp>
        <stp>CHG_PCT_YTD_RT</stp>
        <tr r="J334" s="2"/>
      </tp>
      <tp>
        <v>7.7343000000000002</v>
        <stp/>
        <stp>BDP|10904640033301764104|22</stp>
        <stp>IPSA Index</stp>
        <stp>CHG_PCT_3M_RT</stp>
        <tr r="I512" s="2"/>
      </tp>
      <tp>
        <v>-0.94760000705718994</v>
        <stp/>
        <stp>BDP|241041023778492346|22</stp>
        <stp>CNP UN Equity</stp>
        <stp>RT_PX_CHG_PCT_1D</stp>
        <tr r="F107" s="2"/>
      </tp>
      <tp>
        <v>9.4148999999999994</v>
        <stp/>
        <stp>BDP|13299450618459329031|22</stp>
        <stp>KMB UN Equity</stp>
        <stp>CHG_PCT_YTD_RT</stp>
        <tr r="J276" s="2"/>
      </tp>
      <tp>
        <v>1.4098000526428223</v>
        <stp/>
        <stp>BDP|823173390236281746|22</stp>
        <stp>NUE UN Equity</stp>
        <stp>RT_PX_CHG_PCT_1D</stp>
        <tr r="F349" s="2"/>
      </tp>
      <tp>
        <v>20.615100000000002</v>
        <stp/>
        <stp>BDP|12082091812990555056|22</stp>
        <stp>CAH UN Equity</stp>
        <stp>CHG_PCT_YTD_RT</stp>
        <tr r="J80" s="2"/>
      </tp>
      <tp>
        <v>-2.1438999176025391</v>
        <stp/>
        <stp>BDP|198247195701363672|22</stp>
        <stp>AIZ UN Equity</stp>
        <stp>RT_PX_CHG_PCT_1D</stp>
        <tr r="F22" s="2"/>
      </tp>
      <tp>
        <v>265.12</v>
        <stp/>
        <stp>BDP|556831808442968980|22</stp>
        <stp>PODD UW Equity</stp>
        <stp>LAST_PRICE</stp>
        <tr r="C385" s="2"/>
        <tr r="B385" s="2"/>
        <tr r="D385" s="2"/>
        <tr r="E385" s="2"/>
      </tp>
      <tp>
        <v>-5.6318000000000001</v>
        <stp/>
        <stp>BDP|154641213211362167|22</stp>
        <stp>INVH UN Equity</stp>
        <stp>CHG_PCT_3M_RT</stp>
        <tr r="I250" s="2"/>
      </tp>
      <tp>
        <v>0.73909999999999998</v>
        <stp/>
        <stp>BDP|13714315092183993068|22</stp>
        <stp>CAC Index</stp>
        <stp>CHG_PCT_3M_RT</stp>
        <tr r="I519" s="2"/>
      </tp>
      <tp>
        <v>28.75</v>
        <stp/>
        <stp>BDP|14256751780024790801|22</stp>
        <stp>KEY UN Equity</stp>
        <stp>CHG_PCT_YTD_RT</stp>
        <tr r="J270" s="2"/>
      </tp>
      <tp>
        <v>-7.6375999999999999</v>
        <stp/>
        <stp>BDP|3899847975359165608|22</stp>
        <stp>MNST UW Equity</stp>
        <stp>CHG_PCT_YTD_RT</stp>
        <tr r="J319" s="2"/>
      </tp>
      <tp>
        <v>0.15430000424385071</v>
        <stp/>
        <stp>BDP|1659144635123135986|22</stp>
        <stp>SX5E Index</stp>
        <stp>RT_PX_CHG_PCT_1D</stp>
        <tr r="F517" s="2"/>
      </tp>
      <tp>
        <v>178.15</v>
        <stp/>
        <stp>BDP|8414658908651372969|22</stp>
        <stp>ZTS UN Equity</stp>
        <stp>LAST_PRICE</stp>
        <tr r="C507" s="2"/>
        <tr r="D507" s="2"/>
        <tr r="E507" s="2"/>
        <tr r="B507" s="2"/>
      </tp>
      <tp>
        <v>0.26079999999999998</v>
        <stp/>
        <stp>BDP|1344155829655056514|22</stp>
        <stp>BALL UN Equity</stp>
        <stp>CHG_PCT_YTD_RT</stp>
        <tr r="J57" s="2"/>
      </tp>
      <tp>
        <v>73.344399999999993</v>
        <stp/>
        <stp>BDP|7828272116836412820|22</stp>
        <stp>META UW Equity</stp>
        <stp>CHG_PCT_YTD_RT</stp>
        <tr r="J311" s="2"/>
      </tp>
      <tp>
        <v>25.626300000000001</v>
        <stp/>
        <stp>BDP|4121166742317888506|22</stp>
        <stp>J UN Equity</stp>
        <stp>CHG_PCT_YTD_RT</stp>
        <tr r="J260" s="2"/>
      </tp>
      <tp>
        <v>9.2539999999999996</v>
        <stp/>
        <stp>BDP|7245367918848559010|22</stp>
        <stp>OMX Index</stp>
        <stp>CHG_PCT_YTD_RT</stp>
        <tr r="J524" s="2"/>
      </tp>
      <tp>
        <v>-3.8773</v>
        <stp/>
        <stp>BDP|871035884138877792|22</stp>
        <stp>ON UW Equity</stp>
        <stp>CHG_PCT_1M_RT</stp>
        <tr r="H359" s="2"/>
      </tp>
      <tp>
        <v>15.1616</v>
        <stp/>
        <stp>BDP|10147122000397693887|22</stp>
        <stp>AME UN Equity</stp>
        <stp>CHG_PCT_YTD_RT</stp>
        <tr r="J32" s="2"/>
      </tp>
      <tp>
        <v>-13.516400000000001</v>
        <stp/>
        <stp>BDP|244070729427492327|22</stp>
        <stp>INCY UW Equity</stp>
        <stp>CHG_PCT_1M_RT</stp>
        <tr r="H247" s="2"/>
      </tp>
      <tp>
        <v>18.042300000000001</v>
        <stp/>
        <stp>BDP|14646504426365199413|22</stp>
        <stp>DAY UN Equity</stp>
        <stp>CHG_PCT_YTD_RT</stp>
        <tr r="J133" s="2"/>
      </tp>
      <tp>
        <v>-3.5455000000000001</v>
        <stp/>
        <stp>BDP|66221479493212707|22</stp>
        <stp>TXT UN Equity</stp>
        <stp>REALTIME_5_DAY_CHANGE_PERCENT</stp>
        <tr r="G461" s="2"/>
      </tp>
      <tp>
        <v>171.86</v>
        <stp/>
        <stp>BDP|638064051160218589|22</stp>
        <stp>AMAT UW Equity</stp>
        <stp>LAST_PRICE</stp>
        <tr r="C29" s="2"/>
        <tr r="D29" s="2"/>
        <tr r="E29" s="2"/>
        <tr r="B29" s="2"/>
      </tp>
      <tp>
        <v>23.1858</v>
        <stp/>
        <stp>BDP|18414086557357855669|22</stp>
        <stp>LOW UN Equity</stp>
        <stp>CHG_PCT_YTD_RT</stp>
        <tr r="J292" s="2"/>
      </tp>
      <tp>
        <v>0.12020000070333481</v>
        <stp/>
        <stp>BDP|171095620838478651|22</stp>
        <stp>PNR UN Equity</stp>
        <stp>RT_PX_CHG_PCT_1D</stp>
        <tr r="F383" s="2"/>
      </tp>
      <tp>
        <v>9.7654999999999994</v>
        <stp/>
        <stp>BDP|13088268279958574391|22</stp>
        <stp>CNP UN Equity</stp>
        <stp>CHG_PCT_YTD_RT</stp>
        <tr r="J107" s="2"/>
      </tp>
      <tp>
        <v>-3.1684000000000001</v>
        <stp/>
        <stp>BDP|11700782189399189931|22</stp>
        <stp>AMT UN Equity</stp>
        <stp>CHG_PCT_YTD_RT</stp>
        <tr r="J35" s="2"/>
      </tp>
      <tp>
        <v>-11.1226</v>
        <stp/>
        <stp>BDP|11429979582209415526|22</stp>
        <stp>COP UN Equity</stp>
        <stp>CHG_PCT_YTD_RT</stp>
        <tr r="J110" s="2"/>
      </tp>
      <tp>
        <v>-10.3712</v>
        <stp/>
        <stp>BDP|15525763943313738908|22</stp>
        <stp>AOS UN Equity</stp>
        <stp>CHG_PCT_YTD_RT</stp>
        <tr r="J41" s="2"/>
      </tp>
      <tp>
        <v>478.91</v>
        <stp/>
        <stp>BDP|7963888034955581982|22</stp>
        <stp>MSI UN Equity</stp>
        <stp>LAST_PRICE</stp>
        <tr r="E330" s="2"/>
        <tr r="B330" s="2"/>
        <tr r="C330" s="2"/>
        <tr r="D330" s="2"/>
      </tp>
      <tp>
        <v>91.330799999999996</v>
        <stp/>
        <stp>BDP|2734828101304551715|22</stp>
        <stp>FICO UN Equity</stp>
        <stp>CHG_PCT_YTD_RT</stp>
        <tr r="J193" s="2"/>
      </tp>
      <tp>
        <v>106.75</v>
        <stp/>
        <stp>BDP|2018274049961555488|22</stp>
        <stp>ARE UN Equity</stp>
        <stp>LAST_PRICE</stp>
        <tr r="B46" s="2"/>
        <tr r="C46" s="2"/>
        <tr r="D46" s="2"/>
        <tr r="E46" s="2"/>
      </tp>
      <tp>
        <v>16.744299999999999</v>
        <stp/>
        <stp>BDP|6260292758713955074|22</stp>
        <stp>TTWO UW Equity</stp>
        <stp>CHG_PCT_YTD_RT</stp>
        <tr r="J459" s="2"/>
      </tp>
      <tp>
        <v>1281.69</v>
        <stp/>
        <stp>BDP|2257200333916964217|22</stp>
        <stp>MTD UN Equity</stp>
        <stp>LAST_PRICE</stp>
        <tr r="B333" s="2"/>
        <tr r="C333" s="2"/>
        <tr r="D333" s="2"/>
        <tr r="E333" s="2"/>
      </tp>
      <tp>
        <v>21.456499999999998</v>
        <stp/>
        <stp>BDP|5459197056130009323|22</stp>
        <stp>DAX Index</stp>
        <stp>CHG_PCT_YTD_RT</stp>
        <tr r="J520" s="2"/>
      </tp>
      <tp>
        <v>1.5456000566482544</v>
        <stp/>
        <stp>BDP|720425700373682483|22</stp>
        <stp>DHI UN Equity</stp>
        <stp>RT_PX_CHG_PCT_1D</stp>
        <tr r="F141" s="2"/>
      </tp>
      <tp>
        <v>15.147500000000001</v>
        <stp/>
        <stp>BDP|14406287664364352963|22</stp>
        <stp>MMC UN Equity</stp>
        <stp>CHG_PCT_YTD_RT</stp>
        <tr r="J317" s="2"/>
      </tp>
      <tp>
        <v>-19.557400000000001</v>
        <stp/>
        <stp>BDP|16006192030455288007|22</stp>
        <stp>HAL UN Equity</stp>
        <stp>CHG_PCT_YTD_RT</stp>
        <tr r="J222" s="2"/>
      </tp>
      <tp>
        <v>12.525399999999999</v>
        <stp/>
        <stp>BDP|11877075585040115453|22</stp>
        <stp>LMT UN Equity</stp>
        <stp>CHG_PCT_YTD_RT</stp>
        <tr r="J290" s="2"/>
      </tp>
      <tp>
        <v>-17.615100000000002</v>
        <stp/>
        <stp>BDP|15849449780398921061|22</stp>
        <stp>BAX UN Equity</stp>
        <stp>CHG_PCT_YTD_RT</stp>
        <tr r="J58" s="2"/>
      </tp>
      <tp>
        <v>3.1244999999999998</v>
        <stp/>
        <stp>BDP|779042117710570454|22</stp>
        <stp>INTU UW Equity</stp>
        <stp>CHG_PCT_3M_RT</stp>
        <tr r="I249" s="2"/>
      </tp>
      <tp>
        <v>-1.1861999999999999</v>
        <stp/>
        <stp>BDP|12244190244692853050|22</stp>
        <stp>HES UN Equity</stp>
        <stp>CHG_PCT_YTD_RT</stp>
        <tr r="J227" s="2"/>
      </tp>
      <tp>
        <v>301</v>
        <stp/>
        <stp>BDP|4388154883829097746|22</stp>
        <stp>ESS UN Equity</stp>
        <stp>LAST_PRICE</stp>
        <tr r="E175" s="2"/>
        <tr r="B175" s="2"/>
        <tr r="C175" s="2"/>
        <tr r="D175" s="2"/>
      </tp>
      <tp>
        <v>122.77</v>
        <stp/>
        <stp>BDP|8884902769664649340|22</stp>
        <stp>CPT UN Equity</stp>
        <stp>LAST_PRICE</stp>
        <tr r="D116" s="2"/>
        <tr r="E116" s="2"/>
        <tr r="B116" s="2"/>
        <tr r="C116" s="2"/>
      </tp>
      <tp>
        <v>95.58</v>
        <stp/>
        <stp>BDP|8913668540583719519|22</stp>
        <stp>AEP UW Equity</stp>
        <stp>LAST_PRICE</stp>
        <tr r="D18" s="2"/>
        <tr r="E18" s="2"/>
        <tr r="B18" s="2"/>
        <tr r="C18" s="2"/>
      </tp>
      <tp>
        <v>321.98</v>
        <stp/>
        <stp>BDP|9021380107838486541|22</stp>
        <stp>PWR UN Equity</stp>
        <stp>LAST_PRICE</stp>
        <tr r="C393" s="2"/>
        <tr r="B393" s="2"/>
        <tr r="D393" s="2"/>
        <tr r="E393" s="2"/>
      </tp>
      <tp>
        <v>206.73</v>
        <stp/>
        <stp>BDP|5644159752882819768|22</stp>
        <stp>MTB UN Equity</stp>
        <stp>LAST_PRICE</stp>
        <tr r="D331" s="2"/>
        <tr r="E331" s="2"/>
        <tr r="B331" s="2"/>
        <tr r="C331" s="2"/>
      </tp>
      <tp>
        <v>168.64</v>
        <stp/>
        <stp>BDP|4149954716196725822|22</stp>
        <stp>DRI UN Equity</stp>
        <stp>LAST_PRICE</stp>
        <tr r="B150" s="2"/>
        <tr r="C150" s="2"/>
        <tr r="D150" s="2"/>
        <tr r="E150" s="2"/>
      </tp>
      <tp t="s">
        <v>#N/A N/A</v>
        <stp/>
        <stp>BDP|6082739454424320517|22</stp>
        <stp>RTSI$ Index</stp>
        <stp>CHG_PCT_3M_RT</stp>
        <tr r="I526" s="2"/>
      </tp>
      <tp>
        <v>13.8649</v>
        <stp/>
        <stp>BDP|18169617427563856682|22</stp>
        <stp>FTSEMIB Index</stp>
        <stp>CHG_PCT_YTD_RT</stp>
        <tr r="J522" s="2"/>
      </tp>
      <tp>
        <v>17.666599999999999</v>
        <stp/>
        <stp>BDP|11363970382842849056|22</stp>
        <stp>HCA UN Equity</stp>
        <stp>CHG_PCT_YTD_RT</stp>
        <tr r="J225" s="2"/>
      </tp>
      <tp>
        <v>-0.2288</v>
        <stp/>
        <stp>BDP|981376524800755988|22</stp>
        <stp>WYNN UW Equity</stp>
        <stp>REALTIME_5_DAY_CHANGE_PERCENT</stp>
        <tr r="G500" s="2"/>
      </tp>
      <tp>
        <v>12.090999999999999</v>
        <stp/>
        <stp>BDP|12477828033933494847|22</stp>
        <stp>PCG UN Equity</stp>
        <stp>CHG_PCT_YTD_RT</stp>
        <tr r="J369" s="2"/>
      </tp>
      <tp>
        <v>3.2099999487400055E-2</v>
        <stp/>
        <stp>BDP|106444934664849688|22</stp>
        <stp>TPR UN Equity</stp>
        <stp>RT_PX_CHG_PCT_1D</stp>
        <tr r="F450" s="2"/>
      </tp>
      <tp>
        <v>34.008000000000003</v>
        <stp/>
        <stp>BDP|17163627621089815679|22</stp>
        <stp>EMR UN Equity</stp>
        <stp>CHG_PCT_YTD_RT</stp>
        <tr r="J166" s="2"/>
      </tp>
      <tp>
        <v>33.6</v>
        <stp/>
        <stp>BDP|7788572742362435815|22</stp>
        <stp>KDP UW Equity</stp>
        <stp>LAST_PRICE</stp>
        <tr r="B269" s="2"/>
        <tr r="C269" s="2"/>
        <tr r="D269" s="2"/>
        <tr r="E269" s="2"/>
      </tp>
      <tp>
        <v>122.56</v>
        <stp/>
        <stp>BDP|7155087521184304285|22</stp>
        <stp>PRU UN Equity</stp>
        <stp>LAST_PRICE</stp>
        <tr r="B389" s="2"/>
        <tr r="C389" s="2"/>
        <tr r="D389" s="2"/>
        <tr r="E389" s="2"/>
      </tp>
      <tp>
        <v>70.739999999999995</v>
        <stp/>
        <stp>BDP|1013228531944781861|22</stp>
        <stp>WDC UW Equity</stp>
        <stp>LAST_PRICE</stp>
        <tr r="E489" s="2"/>
        <tr r="B489" s="2"/>
        <tr r="C489" s="2"/>
        <tr r="D489" s="2"/>
      </tp>
      <tp>
        <v>152.97999999999999</v>
        <stp/>
        <stp>BDP|4262988695655602094|22</stp>
        <stp>MPC UN Equity</stp>
        <stp>LAST_PRICE</stp>
        <tr r="D323" s="2"/>
        <tr r="E323" s="2"/>
        <tr r="B323" s="2"/>
        <tr r="C323" s="2"/>
      </tp>
      <tp>
        <v>80.916499999999999</v>
        <stp/>
        <stp>BDP|4992730264092864941|22</stp>
        <stp>DECK UN Equity</stp>
        <stp>CHG_PCT_YTD_RT</stp>
        <tr r="J136" s="2"/>
      </tp>
      <tp>
        <v>-3.3048000000000002</v>
        <stp/>
        <stp>BDP|5964204671523742743|22</stp>
        <stp>NDSN UW Equity</stp>
        <stp>CHG_PCT_YTD_RT</stp>
        <tr r="J337" s="2"/>
      </tp>
      <tp>
        <v>219.04</v>
        <stp/>
        <stp>BDP|9616877113258169454|22</stp>
        <stp>ADI UW Equity</stp>
        <stp>LAST_PRICE</stp>
        <tr r="B13" s="2"/>
        <tr r="C13" s="2"/>
        <tr r="E13" s="2"/>
        <tr r="D13" s="2"/>
      </tp>
      <tp>
        <v>-0.7097</v>
        <stp/>
        <stp>BDP|9508098907500163221|22</stp>
        <stp>SPBLPGPT Index</stp>
        <stp>REALTIME_5_DAY_CHANGE_PERCENT</stp>
        <tr r="G515" s="2"/>
      </tp>
      <tp>
        <v>-7.8311999999999999</v>
        <stp/>
        <stp>BDP|9561754590238696349|22</stp>
        <stp>KOSPI Index</stp>
        <stp>CHG_PCT_1M_RT</stp>
        <tr r="H532" s="2"/>
      </tp>
      <tp>
        <v>1.7148000000000001</v>
        <stp/>
        <stp>BDP|15282347715889597788|22</stp>
        <stp>CCMP Index</stp>
        <stp>REALTIME_5_DAY_CHANGE_PERCENT</stp>
        <tr r="G508" s="2"/>
      </tp>
      <tp>
        <v>0.85290002822875977</v>
        <stp/>
        <stp>BDP|182999349934532992|22</stp>
        <stp>DAY UN Equity</stp>
        <stp>RT_PX_CHG_PCT_1D</stp>
        <tr r="F133" s="2"/>
      </tp>
      <tp>
        <v>43.744900000000001</v>
        <stp/>
        <stp>BDP|14517642906844567527|22</stp>
        <stp>PEG UN Equity</stp>
        <stp>CHG_PCT_YTD_RT</stp>
        <tr r="J370" s="2"/>
      </tp>
      <tp>
        <v>2.7498999999999998</v>
        <stp/>
        <stp>BDP|790198746991830060|22</stp>
        <stp>GRMN UN Equity</stp>
        <stp>REALTIME_5_DAY_CHANGE_PERCENT</stp>
        <tr r="G219" s="2"/>
      </tp>
      <tp>
        <v>2.7248999999999999</v>
        <stp/>
        <stp>BDP|12479686131545416782|22</stp>
        <stp>FCX UN Equity</stp>
        <stp>CHG_PCT_YTD_RT</stp>
        <tr r="J187" s="2"/>
      </tp>
      <tp>
        <v>-0.86040000000000005</v>
        <stp/>
        <stp>BDP|13793175668603303291|22</stp>
        <stp>NKY Index</stp>
        <stp>CHG_PCT_1M_RT</stp>
        <tr r="H528" s="2"/>
      </tp>
      <tp>
        <v>200</v>
        <stp/>
        <stp>BDP|759633933758008646|22</stp>
        <stp>FSLR UW Equity</stp>
        <stp>LAST_PRICE</stp>
        <tr r="D200" s="2"/>
        <tr r="E200" s="2"/>
        <tr r="B200" s="2"/>
        <tr r="C200" s="2"/>
      </tp>
      <tp>
        <v>78.553799999999995</v>
        <stp/>
        <stp>BDP|12133824942964364104|22</stp>
        <stp>WMT UN Equity</stp>
        <stp>CHG_PCT_YTD_RT</stp>
        <tr r="J495" s="2"/>
      </tp>
      <tp>
        <v>158.06</v>
        <stp/>
        <stp>BDP|5648444678480951615|22</stp>
        <stp>DVA UN Equity</stp>
        <stp>LAST_PRICE</stp>
        <tr r="D153" s="2"/>
        <tr r="C153" s="2"/>
        <tr r="E153" s="2"/>
        <tr r="B153" s="2"/>
      </tp>
      <tp>
        <v>50.451799999999999</v>
        <stp/>
        <stp>BDP|9561687050054473345|22</stp>
        <stp>ZBRA UW Equity</stp>
        <stp>CHG_PCT_YTD_RT</stp>
        <tr r="J506" s="2"/>
      </tp>
      <tp>
        <v>-14.690099999999999</v>
        <stp/>
        <stp>BDP|9854765824353165007|22</stp>
        <stp>ULTA UW Equity</stp>
        <stp>CHG_PCT_YTD_RT</stp>
        <tr r="J467" s="2"/>
      </tp>
      <tp>
        <v>243.81</v>
        <stp/>
        <stp>BDP|8822008902869487784|22</stp>
        <stp>JPM UN Equity</stp>
        <stp>LAST_PRICE</stp>
        <tr r="D267" s="2"/>
        <tr r="E267" s="2"/>
        <tr r="B267" s="2"/>
        <tr r="C267" s="2"/>
      </tp>
      <tp>
        <v>3.4977</v>
        <stp/>
        <stp>BDP|2162218786994680442|22</stp>
        <stp>SPTSX Index</stp>
        <stp>CHG_PCT_1M_RT</stp>
        <tr r="H509" s="2"/>
      </tp>
      <tp>
        <v>-1.6371</v>
        <stp/>
        <stp>BDP|2307761143367065009|22</stp>
        <stp>O UN Equity</stp>
        <stp>CHG_PCT_YTD_RT</stp>
        <tr r="J355" s="2"/>
      </tp>
      <tp>
        <v>21.4238</v>
        <stp/>
        <stp>BDP|12831009376581423582|22</stp>
        <stp>WM UN Equity</stp>
        <stp>CHG_PCT_YTD_RT</stp>
        <tr r="J493" s="2"/>
      </tp>
      <tp>
        <v>45.593299999999999</v>
        <stp/>
        <stp>BDP|17758737776044642738|22</stp>
        <stp>JCI UN Equity</stp>
        <stp>CHG_PCT_YTD_RT</stp>
        <tr r="J263" s="2"/>
      </tp>
      <tp>
        <v>3.5</v>
        <stp/>
        <stp>BDP|13078043769359845796|22</stp>
        <stp>VLO UN Equity</stp>
        <stp>CHG_PCT_YTD_RT</stp>
        <tr r="J475" s="2"/>
      </tp>
      <tp>
        <v>31.347200000000001</v>
        <stp/>
        <stp>BDP|11962498031447661208|22</stp>
        <stp>TDG UN Equity</stp>
        <stp>CHG_PCT_YTD_RT</stp>
        <tr r="J438" s="2"/>
      </tp>
      <tp>
        <v>5.8832000000000004</v>
        <stp/>
        <stp>BDP|18419740202755363461|22</stp>
        <stp>DAX Index</stp>
        <stp>CHG_PCT_1M_RT</stp>
        <tr r="H520" s="2"/>
      </tp>
      <tp>
        <v>61.06</v>
        <stp/>
        <stp>BDP|2264254801823478035|22</stp>
        <stp>VTR UN Equity</stp>
        <stp>LAST_PRICE</stp>
        <tr r="D482" s="2"/>
        <tr r="E482" s="2"/>
        <tr r="B482" s="2"/>
        <tr r="C482" s="2"/>
      </tp>
      <tp>
        <v>43.27</v>
        <stp/>
        <stp>BDP|6400790816367035112|22</stp>
        <stp>EQT UN Equity</stp>
        <stp>LAST_PRICE</stp>
        <tr r="D172" s="2"/>
        <tr r="E172" s="2"/>
        <tr r="B172" s="2"/>
        <tr r="C172" s="2"/>
      </tp>
      <tp>
        <v>129.35</v>
        <stp/>
        <stp>BDP|9370083229382003790|22</stp>
        <stp>XYL UN Equity</stp>
        <stp>LAST_PRICE</stp>
        <tr r="C503" s="2"/>
        <tr r="D503" s="2"/>
        <tr r="E503" s="2"/>
        <tr r="B503" s="2"/>
      </tp>
      <tp>
        <v>96.02</v>
        <stp/>
        <stp>BDP|9306224793604547978|22</stp>
        <stp>UAL UW Equity</stp>
        <stp>LAST_PRICE</stp>
        <tr r="B463" s="2"/>
        <tr r="E463" s="2"/>
        <tr r="C463" s="2"/>
        <tr r="D463" s="2"/>
      </tp>
      <tp>
        <v>11.2835</v>
        <stp/>
        <stp>BDP|4535309765696208454|22</stp>
        <stp>SPTSX Index</stp>
        <stp>CHG_PCT_3M_RT</stp>
        <tr r="I509" s="2"/>
      </tp>
      <tp>
        <v>1.7623000144958496</v>
        <stp/>
        <stp>BDP|581289076949664225|22</stp>
        <stp>DOW UN Equity</stp>
        <stp>RT_PX_CHG_PCT_1D</stp>
        <tr r="F148" s="2"/>
      </tp>
      <tp>
        <v>5.3925000000000001</v>
        <stp/>
        <stp>BDP|14510130075761273572|22</stp>
        <stp>JBL UN Equity</stp>
        <stp>CHG_PCT_YTD_RT</stp>
        <tr r="J262" s="2"/>
      </tp>
      <tp>
        <v>47.093499999999999</v>
        <stp/>
        <stp>BDP|17430934304279889876|22</stp>
        <stp>PKG UN Equity</stp>
        <stp>CHG_PCT_YTD_RT</stp>
        <tr r="J378" s="2"/>
      </tp>
      <tp>
        <v>1.9414000511169434</v>
        <stp/>
        <stp>BDP|508051974910858656|22</stp>
        <stp>NVR UN Equity</stp>
        <stp>RT_PX_CHG_PCT_1D</stp>
        <tr r="F351" s="2"/>
      </tp>
      <tp>
        <v>47.541600000000003</v>
        <stp/>
        <stp>BDP|12968795417866902009|22</stp>
        <stp>WFC UN Equity</stp>
        <stp>CHG_PCT_YTD_RT</stp>
        <tr r="J492" s="2"/>
      </tp>
      <tp>
        <v>36.352800000000002</v>
        <stp/>
        <stp>BDP|17101459951074755725|22</stp>
        <stp>BAC UN Equity</stp>
        <stp>CHG_PCT_YTD_RT</stp>
        <tr r="J56" s="2"/>
      </tp>
      <tp>
        <v>-1.5153000000000001</v>
        <stp/>
        <stp>BDP|10520862144958406112|22</stp>
        <stp>HSI Index</stp>
        <stp>CHG_PCT_1M_RT</stp>
        <tr r="H529" s="2"/>
      </tp>
      <tp>
        <v>7.1050000000000004</v>
        <stp/>
        <stp>BDP|11251730798508334530|22</stp>
        <stp>EFX UN Equity</stp>
        <stp>CHG_PCT_YTD_RT</stp>
        <tr r="J160" s="2"/>
      </tp>
      <tp>
        <v>-5.8453999999999997</v>
        <stp/>
        <stp>BDP|5388730845811963351|22</stp>
        <stp>CHTR UW Equity</stp>
        <stp>CHG_PCT_YTD_RT</stp>
        <tr r="J96" s="2"/>
      </tp>
      <tp>
        <v>206.44</v>
        <stp/>
        <stp>BDP|7834940658377474930|22</stp>
        <stp>IQV UN Equity</stp>
        <stp>LAST_PRICE</stp>
        <tr r="B253" s="2"/>
        <tr r="C253" s="2"/>
        <tr r="D253" s="2"/>
        <tr r="E253" s="2"/>
      </tp>
      <tp>
        <v>-18.803699999999999</v>
        <stp/>
        <stp>BDP|2731210795767057668|22</stp>
        <stp>IDXX UW Equity</stp>
        <stp>CHG_PCT_YTD_RT</stp>
        <tr r="J244" s="2"/>
      </tp>
      <tp>
        <v>149.56</v>
        <stp/>
        <stp>BDP|9600719703489436799|22</stp>
        <stp>ETR UN Equity</stp>
        <stp>LAST_PRICE</stp>
        <tr r="C177" s="2"/>
        <tr r="D177" s="2"/>
        <tr r="E177" s="2"/>
        <tr r="B177" s="2"/>
      </tp>
      <tp>
        <v>56.07</v>
        <stp/>
        <stp>BDP|6444047701465199199|22</stp>
        <stp>CVS UN Equity</stp>
        <stp>LAST_PRICE</stp>
        <tr r="E128" s="2"/>
        <tr r="D128" s="2"/>
        <tr r="B128" s="2"/>
        <tr r="C128" s="2"/>
      </tp>
      <tp>
        <v>3.4478</v>
        <stp/>
        <stp>BDP|9999744196199407261|22</stp>
        <stp>INTU UW Equity</stp>
        <stp>CHG_PCT_YTD_RT</stp>
        <tr r="J249" s="2"/>
      </tp>
      <tp>
        <v>113.75</v>
        <stp/>
        <stp>BDP|1697716429932128510|22</stp>
        <stp>HWM UN Equity</stp>
        <stp>LAST_PRICE</stp>
        <tr r="C241" s="2"/>
        <tr r="E241" s="2"/>
        <tr r="B241" s="2"/>
        <tr r="D241" s="2"/>
      </tp>
      <tp>
        <v>-42.190100000000001</v>
        <stp/>
        <stp>BDP|2823827400135390728|22</stp>
        <stp>ENPH UQ Equity</stp>
        <stp>CHG_PCT_YTD_RT</stp>
        <tr r="J167" s="2"/>
      </tp>
      <tp>
        <v>225.09</v>
        <stp/>
        <stp>BDP|4495159186986107976|22</stp>
        <stp>HON UW Equity</stp>
        <stp>LAST_PRICE</stp>
        <tr r="D232" s="2"/>
        <tr r="B232" s="2"/>
        <tr r="C232" s="2"/>
        <tr r="E232" s="2"/>
      </tp>
      <tp>
        <v>335.57</v>
        <stp/>
        <stp>BDP|8916967976725551430|22</stp>
        <stp>PSA UN Equity</stp>
        <stp>LAST_PRICE</stp>
        <tr r="B390" s="2"/>
        <tr r="E390" s="2"/>
        <tr r="C390" s="2"/>
        <tr r="D390" s="2"/>
      </tp>
      <tp>
        <v>25.594000000000001</v>
        <stp/>
        <stp>BDP|16508323332671689170|22</stp>
        <stp>MCO UN Equity</stp>
        <stp>CHG_PCT_YTD_RT</stp>
        <tr r="J307" s="2"/>
      </tp>
      <tp>
        <v>-4.8435001373291016</v>
        <stp/>
        <stp>BDP|889185439920070199|22</stp>
        <stp>IRM UN Equity</stp>
        <stp>RT_PX_CHG_PCT_1D</stp>
        <tr r="F255" s="2"/>
      </tp>
      <tp>
        <v>7.8292000000000002</v>
        <stp/>
        <stp>BDP|10411761247331193242|22</stp>
        <stp>TEL UN Equity</stp>
        <stp>CHG_PCT_YTD_RT</stp>
        <tr r="J441" s="2"/>
      </tp>
      <tp>
        <v>10.847200393676758</v>
        <stp/>
        <stp>BDP|300250511909070274|22</stp>
        <stp>HSY UN Equity</stp>
        <stp>RT_PX_CHG_PCT_1D</stp>
        <tr r="F238" s="2"/>
      </tp>
      <tp>
        <v>1.6391</v>
        <stp/>
        <stp>BDP|15896534566582962212|22</stp>
        <stp>MCD UN Equity</stp>
        <stp>CHG_PCT_YTD_RT</stp>
        <tr r="J304" s="2"/>
      </tp>
      <tp>
        <v>-1.3725999593734741</v>
        <stp/>
        <stp>BDP|955000340981062050|22</stp>
        <stp>DFS UN Equity</stp>
        <stp>RT_PX_CHG_PCT_1D</stp>
        <tr r="F138" s="2"/>
      </tp>
      <tp>
        <v>1.4793000221252441</v>
        <stp/>
        <stp>BDP|709944708124984117|22</stp>
        <stp>BWA UN Equity</stp>
        <stp>RT_PX_CHG_PCT_1D</stp>
        <tr r="F75" s="2"/>
      </tp>
      <tp>
        <v>-15.1587</v>
        <stp/>
        <stp>BDP|13802947725702563018|22</stp>
        <stp>MOH UN Equity</stp>
        <stp>CHG_PCT_YTD_RT</stp>
        <tr r="J321" s="2"/>
      </tp>
      <tp>
        <v>39.470599999999997</v>
        <stp/>
        <stp>BDP|16484088562478249407|22</stp>
        <stp>FIS UN Equity</stp>
        <stp>CHG_PCT_YTD_RT</stp>
        <tr r="J194" s="2"/>
      </tp>
      <tp>
        <v>2.3079999999999998</v>
        <stp/>
        <stp>BDP|11932417004033185931|22</stp>
        <stp>OMX Index</stp>
        <stp>CHG_PCT_1M_RT</stp>
        <tr r="H524" s="2"/>
      </tp>
      <tp>
        <v>29.758400000000002</v>
        <stp/>
        <stp>BDP|14576234031740447987|22</stp>
        <stp>AIZ UN Equity</stp>
        <stp>CHG_PCT_YTD_RT</stp>
        <tr r="J22" s="2"/>
      </tp>
      <tp>
        <v>322.16000000000003</v>
        <stp/>
        <stp>BDP|8877120745869068293|22</stp>
        <stp>WST UN Equity</stp>
        <stp>LAST_PRICE</stp>
        <tr r="E497" s="2"/>
        <tr r="B497" s="2"/>
        <tr r="C497" s="2"/>
        <tr r="D497" s="2"/>
      </tp>
      <tp>
        <v>18.335999999999999</v>
        <stp/>
        <stp>BDP|5623339470110454942|22</stp>
        <stp>PAYX UW Equity</stp>
        <stp>CHG_PCT_YTD_RT</stp>
        <tr r="J367" s="2"/>
      </tp>
      <tp>
        <v>251.92</v>
        <stp/>
        <stp>BDP|8559403665168648567|22</stp>
        <stp>TRV UN Equity</stp>
        <stp>LAST_PRICE</stp>
        <tr r="B454" s="2"/>
        <tr r="C454" s="2"/>
        <tr r="D454" s="2"/>
        <tr r="E454" s="2"/>
      </tp>
      <tp>
        <v>144.58000000000001</v>
        <stp/>
        <stp>BDP|5417443336041596328|22</stp>
        <stp>NUE UN Equity</stp>
        <stp>LAST_PRICE</stp>
        <tr r="B349" s="2"/>
        <tr r="C349" s="2"/>
        <tr r="D349" s="2"/>
        <tr r="E349" s="2"/>
      </tp>
      <tp>
        <v>59.728499999999997</v>
        <stp/>
        <stp>BDP|9800321112952156975|22</stp>
        <stp>ISRG UW Equity</stp>
        <stp>CHG_PCT_YTD_RT</stp>
        <tr r="J256" s="2"/>
      </tp>
      <tp>
        <v>2.2677999999999998</v>
        <stp/>
        <stp>BDP|8575792657439393942|22</stp>
        <stp>JCI Index</stp>
        <stp>CHG_PCT_YTD_RT</stp>
        <tr r="J535" s="2"/>
      </tp>
      <tp>
        <v>3.9458000659942627</v>
        <stp/>
        <stp>BDP|609003004457439191|22</stp>
        <stp>FCX UN Equity</stp>
        <stp>RT_PX_CHG_PCT_1D</stp>
        <tr r="F187" s="2"/>
      </tp>
      <tp>
        <v>27.845700000000001</v>
        <stp/>
        <stp>BDP|12547099827460542982|22</stp>
        <stp>MCK UN Equity</stp>
        <stp>CHG_PCT_YTD_RT</stp>
        <tr r="J306" s="2"/>
      </tp>
      <tp>
        <v>7.2939999999999996</v>
        <stp/>
        <stp>BDP|15135270945122396629|22</stp>
        <stp>OMC UN Equity</stp>
        <stp>CHG_PCT_YTD_RT</stp>
        <tr r="J358" s="2"/>
      </tp>
      <tp>
        <v>31.161799999999999</v>
        <stp/>
        <stp>BDP|18315217525789784487|22</stp>
        <stp>DOV UN Equity</stp>
        <stp>CHG_PCT_YTD_RT</stp>
        <tr r="J147" s="2"/>
      </tp>
      <tp>
        <v>-6.3314000000000004</v>
        <stp/>
        <stp>BDP|986306764703497236|22</stp>
        <stp>WELL UN Equity</stp>
        <stp>CHG_PCT_1M_RT</stp>
        <tr r="H491" s="2"/>
      </tp>
      <tp>
        <v>0.72160000000000002</v>
        <stp/>
        <stp>BDP|16686463678662333672|22</stp>
        <stp>AEX Index</stp>
        <stp>CHG_PCT_3M_RT</stp>
        <tr r="I523" s="2"/>
      </tp>
      <tp>
        <v>91.588200000000001</v>
        <stp/>
        <stp>BDP|2580501508644521966|22</stp>
        <stp>GDDY UN Equity</stp>
        <stp>CHG_PCT_YTD_RT</stp>
        <tr r="J204" s="2"/>
      </tp>
      <tp>
        <v>49.657600000000002</v>
        <stp/>
        <stp>BDP|2591453960940356133|22</stp>
        <stp>COST UW Equity</stp>
        <stp>CHG_PCT_YTD_RT</stp>
        <tr r="J112" s="2"/>
      </tp>
      <tp>
        <v>24.007999999999999</v>
        <stp/>
        <stp>BDP|9872247918934748232|22</stp>
        <stp>FAST UW Equity</stp>
        <stp>CHG_PCT_YTD_RT</stp>
        <tr r="J186" s="2"/>
      </tp>
      <tp>
        <v>13.287699999999999</v>
        <stp/>
        <stp>BDP|1034572752740269151|22</stp>
        <stp>NIFTY Index</stp>
        <stp>CHG_PCT_YTD_RT</stp>
        <tr r="J533" s="2"/>
      </tp>
      <tp>
        <v>364.06</v>
        <stp/>
        <stp>BDP|3185385584362424453|22</stp>
        <stp>ETN UN Equity</stp>
        <stp>LAST_PRICE</stp>
        <tr r="D176" s="2"/>
        <tr r="E176" s="2"/>
        <tr r="B176" s="2"/>
        <tr r="C176" s="2"/>
      </tp>
      <tp>
        <v>121.8</v>
        <stp/>
        <stp>BDP|9640826240332674928|22</stp>
        <stp>DTE UN Equity</stp>
        <stp>LAST_PRICE</stp>
        <tr r="B151" s="2"/>
        <tr r="E151" s="2"/>
        <tr r="C151" s="2"/>
        <tr r="D151" s="2"/>
      </tp>
      <tp>
        <v>-58.5871</v>
        <stp/>
        <stp>BDP|6591190409119024428|22</stp>
        <stp>INTC UW Equity</stp>
        <stp>CHG_PCT_YTD_RT</stp>
        <tr r="J248" s="2"/>
      </tp>
      <tp>
        <v>73.67</v>
        <stp/>
        <stp>BDP|3077272500708399359|22</stp>
        <stp>APH UN Equity</stp>
        <stp>LAST_PRICE</stp>
        <tr r="D44" s="2"/>
        <tr r="E44" s="2"/>
        <tr r="B44" s="2"/>
        <tr r="C44" s="2"/>
      </tp>
      <tp>
        <v>16.532699999999998</v>
        <stp/>
        <stp>BDP|8211618613993561484|22</stp>
        <stp>SPGI UN Equity</stp>
        <stp>CHG_PCT_YTD_RT</stp>
        <tr r="J423" s="2"/>
      </tp>
      <tp>
        <v>20.21</v>
        <stp/>
        <stp>BDP|33877326322609571|22</stp>
        <stp>PCG UN Equity</stp>
        <stp>LAST_PRICE</stp>
        <tr r="B369" s="2"/>
        <tr r="C369" s="2"/>
        <tr r="D369" s="2"/>
        <tr r="E369" s="2"/>
      </tp>
      <tp>
        <v>298.72000000000003</v>
        <stp/>
        <stp>BDP|89982599774199558|22</stp>
        <stp>ROK UN Equity</stp>
        <stp>LAST_PRICE</stp>
        <tr r="C404" s="2"/>
        <tr r="D404" s="2"/>
        <tr r="E404" s="2"/>
        <tr r="B404" s="2"/>
      </tp>
      <tp>
        <v>0.2904999852180481</v>
        <stp/>
        <stp>BDP|873683715122123173|22</stp>
        <stp>BKR UW Equity</stp>
        <stp>RT_PX_CHG_PCT_1D</stp>
        <tr r="F67" s="2"/>
      </tp>
      <tp>
        <v>1.8803000450134277</v>
        <stp/>
        <stp>BDP|159563479007407382|22</stp>
        <stp>IQV UN Equity</stp>
        <stp>RT_PX_CHG_PCT_1D</stp>
        <tr r="F253" s="2"/>
      </tp>
      <tp>
        <v>2.8278999328613281</v>
        <stp/>
        <stp>BDP|110504940455147841|22</stp>
        <stp>FMC UN Equity</stp>
        <stp>RT_PX_CHG_PCT_1D</stp>
        <tr r="F196" s="2"/>
      </tp>
      <tp>
        <v>0.13899999856948853</v>
        <stp/>
        <stp>BDP|242995401087245871|22</stp>
        <stp>DOV UN Equity</stp>
        <stp>RT_PX_CHG_PCT_1D</stp>
        <tr r="F147" s="2"/>
      </tp>
      <tp>
        <v>40.629800000000003</v>
        <stp/>
        <stp>BDP|14980969734213855491|22</stp>
        <stp>IBM UN Equity</stp>
        <stp>CHG_PCT_YTD_RT</stp>
        <tr r="J242" s="2"/>
      </tp>
      <tp>
        <v>-17.955200000000001</v>
        <stp/>
        <stp>BDP|178366914635676432|22</stp>
        <stp>MCHP UW Equity</stp>
        <stp>CHG_PCT_3M_RT</stp>
        <tr r="I305" s="2"/>
      </tp>
      <tp>
        <v>14.737500000000001</v>
        <stp/>
        <stp>BDP|14118123029079112231|22</stp>
        <stp>DGX UN Equity</stp>
        <stp>CHG_PCT_YTD_RT</stp>
        <tr r="J140" s="2"/>
      </tp>
      <tp>
        <v>-9.0775000000000006</v>
        <stp/>
        <stp>BDP|11189392114651798474|22</stp>
        <stp>MEXBOL Index</stp>
        <stp>CHG_PCT_YTD_RT</stp>
        <tr r="J510" s="2"/>
      </tp>
      <tp>
        <v>133.99</v>
        <stp/>
        <stp>BDP|3121602692716058894|22</stp>
        <stp>LYV UN Equity</stp>
        <stp>LAST_PRICE</stp>
        <tr r="B299" s="2"/>
        <tr r="D299" s="2"/>
        <tr r="E299" s="2"/>
        <tr r="C299" s="2"/>
      </tp>
      <tp>
        <v>103.79</v>
        <stp/>
        <stp>BDP|2821508326948171465|22</stp>
        <stp>MRK UN Equity</stp>
        <stp>LAST_PRICE</stp>
        <tr r="B325" s="2"/>
        <tr r="C325" s="2"/>
        <tr r="D325" s="2"/>
        <tr r="E325" s="2"/>
      </tp>
      <tp>
        <v>125.92</v>
        <stp/>
        <stp>BDP|5384602111951701813|22</stp>
        <stp>GPC UN Equity</stp>
        <stp>LAST_PRICE</stp>
        <tr r="C217" s="2"/>
        <tr r="D217" s="2"/>
        <tr r="E217" s="2"/>
        <tr r="B217" s="2"/>
      </tp>
      <tp>
        <v>-2.6703999999999999</v>
        <stp/>
        <stp>BDP|4193804940928564952|22</stp>
        <stp>VRSN UW Equity</stp>
        <stp>CHG_PCT_YTD_RT</stp>
        <tr r="J479" s="2"/>
      </tp>
      <tp>
        <v>-14.5991</v>
        <stp/>
        <stp>BDP|856653172465080997|22</stp>
        <stp>CE UN Equity</stp>
        <stp>CHG_PCT_1M_RT</stp>
        <tr r="H90" s="2"/>
      </tp>
      <tp>
        <v>10.4879</v>
        <stp/>
        <stp>BDP|15539639792066855439|22</stp>
        <stp>TWSE Index</stp>
        <stp>CHG_PCT_3M_RT</stp>
        <tr r="I534" s="2"/>
      </tp>
      <tp>
        <v>44.575800000000001</v>
        <stp/>
        <stp>BDP|14936693161744690196|22</stp>
        <stp>HIG UN Equity</stp>
        <stp>CHG_PCT_YTD_RT</stp>
        <tr r="J228" s="2"/>
      </tp>
      <tp>
        <v>54.760100000000001</v>
        <stp/>
        <stp>BDP|15458458867146619811|22</stp>
        <stp>DAL UN Equity</stp>
        <stp>CHG_PCT_YTD_RT</stp>
        <tr r="J132" s="2"/>
      </tp>
      <tp>
        <v>-3.7877000000000001</v>
        <stp/>
        <stp>BDP|15487097425317907777|22</stp>
        <stp>ROK UN Equity</stp>
        <stp>CHG_PCT_YTD_RT</stp>
        <tr r="J404" s="2"/>
      </tp>
      <tp>
        <v>-25.57</v>
        <stp/>
        <stp>BDP|15495275774289289815|22</stp>
        <stp>HII UN Equity</stp>
        <stp>CHG_PCT_YTD_RT</stp>
        <tr r="J229" s="2"/>
      </tp>
      <tp>
        <v>5.9086999999999996</v>
        <stp/>
        <stp>BDP|10882163885981649825|22</stp>
        <stp>DHI UN Equity</stp>
        <stp>CHG_PCT_YTD_RT</stp>
        <tr r="J141" s="2"/>
      </tp>
      <tp>
        <v>-0.64099997282028198</v>
        <stp/>
        <stp>BDP|651431750641929807|22</stp>
        <stp>ATO UN Equity</stp>
        <stp>RT_PX_CHG_PCT_1D</stp>
        <tr r="F47" s="2"/>
      </tp>
      <tp>
        <v>8.7195999999999998</v>
        <stp/>
        <stp>BDP|127270061770728633|22</stp>
        <stp>AAPL UW Equity</stp>
        <stp>CHG_PCT_1M_RT</stp>
        <tr r="H6" s="2"/>
      </tp>
      <tp>
        <v>12.7417</v>
        <stp/>
        <stp>BDP|2653031162903135773|22</stp>
        <stp>OTIS UN Equity</stp>
        <stp>CHG_PCT_YTD_RT</stp>
        <tr r="J362" s="2"/>
      </tp>
      <tp>
        <v>42.743099999999998</v>
        <stp/>
        <stp>BDP|4787086457211844241|22</stp>
        <stp>TMUS UW Equity</stp>
        <stp>CHG_PCT_YTD_RT</stp>
        <tr r="J448" s="2"/>
      </tp>
      <tp>
        <v>62.27</v>
        <stp/>
        <stp>BDP|6735228989710100400|22</stp>
        <stp>TPR UN Equity</stp>
        <stp>LAST_PRICE</stp>
        <tr r="B450" s="2"/>
        <tr r="C450" s="2"/>
        <tr r="D450" s="2"/>
        <tr r="E450" s="2"/>
      </tp>
      <tp>
        <v>351.57</v>
        <stp/>
        <stp>BDP|3711383963349056576|22</stp>
        <stp>CRM UN Equity</stp>
        <stp>LAST_PRICE</stp>
        <tr r="B118" s="2"/>
        <tr r="C118" s="2"/>
        <tr r="D118" s="2"/>
        <tr r="E118" s="2"/>
      </tp>
      <tp>
        <v>96.07</v>
        <stp/>
        <stp>BDP|3556998484508084067|22</stp>
        <stp>NRG UN Equity</stp>
        <stp>LAST_PRICE</stp>
        <tr r="B345" s="2"/>
        <tr r="C345" s="2"/>
        <tr r="D345" s="2"/>
        <tr r="E345" s="2"/>
      </tp>
      <tp>
        <v>24.8567</v>
        <stp/>
        <stp>BDP|7461326385011124739|22</stp>
        <stp>EXPE UW Equity</stp>
        <stp>CHG_PCT_YTD_RT</stp>
        <tr r="J182" s="2"/>
      </tp>
      <tp>
        <v>130.72</v>
        <stp/>
        <stp>BDP|7670265663859040501|22</stp>
        <stp>AWK UN Equity</stp>
        <stp>LAST_PRICE</stp>
        <tr r="E51" s="2"/>
        <tr r="B51" s="2"/>
        <tr r="C51" s="2"/>
        <tr r="D51" s="2"/>
      </tp>
      <tp>
        <v>80.641199999999998</v>
        <stp/>
        <stp>BDP|2052710105739845876|22</stp>
        <stp>ORCL UN Equity</stp>
        <stp>CHG_PCT_YTD_RT</stp>
        <tr r="J360" s="2"/>
      </tp>
      <tp>
        <v>442.58</v>
        <stp/>
        <stp>BDP|4363999019293547768|22</stp>
        <stp>LIN UW Equity</stp>
        <stp>LAST_PRICE</stp>
        <tr r="D287" s="2"/>
        <tr r="E287" s="2"/>
        <tr r="B287" s="2"/>
        <tr r="C287" s="2"/>
      </tp>
      <tp>
        <v>3.6105</v>
        <stp/>
        <stp>BDP|649128251607017457|22</stp>
        <stp>GE UN Equity</stp>
        <stp>CHG_PCT_3M_RT</stp>
        <tr r="I205" s="2"/>
      </tp>
      <tp>
        <v>-7.2994000000000003</v>
        <stp/>
        <stp>BDP|789720310420321012|22</stp>
        <stp>GE UN Equity</stp>
        <stp>CHG_PCT_1M_RT</stp>
        <tr r="H205" s="2"/>
      </tp>
      <tp>
        <v>18.4175</v>
        <stp/>
        <stp>BDP|6513566209967481055|22</stp>
        <stp>V UN Equity</stp>
        <stp>CHG_PCT_YTD_RT</stp>
        <tr r="J473" s="2"/>
      </tp>
      <tp>
        <v>335.25</v>
        <stp/>
        <stp>BDP|20920296100995956|22</stp>
        <stp>GEV UN Equity</stp>
        <stp>LAST_PRICE</stp>
        <tr r="D208" s="2"/>
        <tr r="E208" s="2"/>
        <tr r="B208" s="2"/>
        <tr r="C208" s="2"/>
      </tp>
      <tp>
        <v>-0.84870000000000001</v>
        <stp/>
        <stp>BDP|11743668612928784501|22</stp>
        <stp>INDU Index</stp>
        <stp>REALTIME_5_DAY_CHANGE_PERCENT</stp>
        <tr r="G3" s="2"/>
      </tp>
      <tp>
        <v>-3.3498999999999999</v>
        <stp/>
        <stp>BDP|6565831134736544159|22</stp>
        <stp>SHSZ300 Index</stp>
        <stp>CHG_PCT_1M_RT</stp>
        <tr r="H530" s="2"/>
      </tp>
      <tp>
        <v>-5.950000137090683E-2</v>
        <stp/>
        <stp>BDP|276632902241462337|22</stp>
        <stp>MDT UN Equity</stp>
        <stp>RT_PX_CHG_PCT_1D</stp>
        <tr r="F309" s="2"/>
      </tp>
      <tp>
        <v>237.57</v>
        <stp/>
        <stp>BDP|754677450927738608|22</stp>
        <stp>ALGN UW Equity</stp>
        <stp>LAST_PRICE</stp>
        <tr r="B26" s="2"/>
        <tr r="C26" s="2"/>
        <tr r="D26" s="2"/>
        <tr r="E26" s="2"/>
      </tp>
      <tp>
        <v>-2.2983999252319336</v>
        <stp/>
        <stp>BDP|192052327961927856|22</stp>
        <stp>ADP UW Equity</stp>
        <stp>RT_PX_CHG_PCT_1D</stp>
        <tr r="F15" s="2"/>
      </tp>
      <tp>
        <v>-18.084199999999999</v>
        <stp/>
        <stp>BDP|16234199546075746818|22</stp>
        <stp>MGM UN Equity</stp>
        <stp>CHG_PCT_YTD_RT</stp>
        <tr r="J312" s="2"/>
      </tp>
      <tp>
        <v>-6.202</v>
        <stp/>
        <stp>BDP|206183771869036410|22</stp>
        <stp>VICI UN Equity</stp>
        <stp>CHG_PCT_3M_RT</stp>
        <tr r="I474" s="2"/>
      </tp>
      <tp>
        <v>-24.986000000000001</v>
        <stp/>
        <stp>BDP|17232092788366152687|22</stp>
        <stp>TFX UN Equity</stp>
        <stp>CHG_PCT_YTD_RT</stp>
        <tr r="J444" s="2"/>
      </tp>
      <tp>
        <v>-1.4257</v>
        <stp/>
        <stp>BDP|77428099012496955|22</stp>
        <stp>LKQ UW Equity</stp>
        <stp>CHG_PCT_3M_RT</stp>
        <tr r="I288" s="2"/>
      </tp>
      <tp>
        <v>37.854300000000002</v>
        <stp/>
        <stp>BDP|13828174432585201133|22</stp>
        <stp>LLY UN Equity</stp>
        <stp>CHG_PCT_YTD_RT</stp>
        <tr r="J289" s="2"/>
      </tp>
      <tp>
        <v>13.9382</v>
        <stp/>
        <stp>BDP|9589129136910893021|22</stp>
        <stp>ABBV UN Equity</stp>
        <stp>CHG_PCT_YTD_RT</stp>
        <tr r="J7" s="2"/>
      </tp>
      <tp>
        <v>274.07</v>
        <stp/>
        <stp>BDP|3448987262511197028|22</stp>
        <stp>ITW UN Equity</stp>
        <stp>LAST_PRICE</stp>
        <tr r="E258" s="2"/>
        <tr r="B258" s="2"/>
        <tr r="C258" s="2"/>
        <tr r="D258" s="2"/>
      </tp>
      <tp>
        <v>8.85</v>
        <stp/>
        <stp>BDP|1542427308783805463|22</stp>
        <stp>WBA UW Equity</stp>
        <stp>LAST_PRICE</stp>
        <tr r="C487" s="2"/>
        <tr r="D487" s="2"/>
        <tr r="E487" s="2"/>
        <tr r="B487" s="2"/>
      </tp>
      <tp>
        <v>30.3</v>
        <stp/>
        <stp>BDP|7127004892721103637|22</stp>
        <stp>IPG UN Equity</stp>
        <stp>LAST_PRICE</stp>
        <tr r="C252" s="2"/>
        <tr r="D252" s="2"/>
        <tr r="E252" s="2"/>
        <tr r="B252" s="2"/>
      </tp>
      <tp>
        <v>114.34</v>
        <stp/>
        <stp>BDP|5127657488183954304|22</stp>
        <stp>IRM UN Equity</stp>
        <stp>LAST_PRICE</stp>
        <tr r="D255" s="2"/>
        <tr r="E255" s="2"/>
        <tr r="B255" s="2"/>
        <tr r="C255" s="2"/>
      </tp>
      <tp>
        <v>15.1911</v>
        <stp/>
        <stp>BDP|15273223359575907566|22</stp>
        <stp>MLM UN Equity</stp>
        <stp>CHG_PCT_YTD_RT</stp>
        <tr r="J316" s="2"/>
      </tp>
      <tp>
        <v>24.462299999999999</v>
        <stp/>
        <stp>BDP|15542232720704557754|22</stp>
        <stp>PHM UN Equity</stp>
        <stp>CHG_PCT_YTD_RT</stp>
        <tr r="J377" s="2"/>
      </tp>
      <tp>
        <v>2.4479000000000002</v>
        <stp/>
        <stp>BDP|16707688115384617857|22</stp>
        <stp>ACN UN Equity</stp>
        <stp>CHG_PCT_YTD_RT</stp>
        <tr r="J11" s="2"/>
      </tp>
      <tp>
        <v>-0.34330001473426819</v>
        <stp/>
        <stp>BDP|752294940270368464|22</stp>
        <stp>NOW UN Equity</stp>
        <stp>RT_PX_CHG_PCT_1D</stp>
        <tr r="F344" s="2"/>
      </tp>
      <tp>
        <v>15.3736</v>
        <stp/>
        <stp>BDP|12776210809002058996|22</stp>
        <stp>WEC UN Equity</stp>
        <stp>CHG_PCT_YTD_RT</stp>
        <tr r="J490" s="2"/>
      </tp>
      <tp>
        <v>5.1304999999999996</v>
        <stp/>
        <stp>BDP|17197250182137064098|22</stp>
        <stp>AS51 Index</stp>
        <stp>CHG_PCT_3M_RT</stp>
        <tr r="I531" s="2"/>
      </tp>
      <tp>
        <v>139.73849999999999</v>
        <stp/>
        <stp>BDP|18224796354714198088|22</stp>
        <stp>MERVAL Index</stp>
        <stp>CHG_PCT_YTD_RT</stp>
        <tr r="J514" s="2"/>
      </tp>
      <tp>
        <v>1.1514</v>
        <stp/>
        <stp>BDP|17804461443954821440|22</stp>
        <stp>GIS UN Equity</stp>
        <stp>CHG_PCT_YTD_RT</stp>
        <tr r="J210" s="2"/>
      </tp>
      <tp>
        <v>157.08000000000001</v>
        <stp/>
        <stp>BDP|1814613016206303806|22</stp>
        <stp>CVX UN Equity</stp>
        <stp>LAST_PRICE</stp>
        <tr r="D129" s="2"/>
        <tr r="C129" s="2"/>
        <tr r="E129" s="2"/>
        <tr r="B129" s="2"/>
      </tp>
      <tp>
        <v>26.061199999999999</v>
        <stp/>
        <stp>BDP|1431202954779464717|22</stp>
        <stp>CPRT UW Equity</stp>
        <stp>CHG_PCT_YTD_RT</stp>
        <tr r="J115" s="2"/>
      </tp>
      <tp>
        <v>164.51</v>
        <stp/>
        <stp>BDP|2377291485048874683|22</stp>
        <stp>EXR UN Equity</stp>
        <stp>LAST_PRICE</stp>
        <tr r="E183" s="2"/>
        <tr r="B183" s="2"/>
        <tr r="C183" s="2"/>
        <tr r="D183" s="2"/>
      </tp>
      <tp>
        <v>29.540900000000001</v>
        <stp/>
        <stp>BDP|6268694458666538448|22</stp>
        <stp>NCLH UN Equity</stp>
        <stp>CHG_PCT_YTD_RT</stp>
        <tr r="J335" s="2"/>
      </tp>
      <tp>
        <v>61.8431</v>
        <stp/>
        <stp>BDP|2086354839819847262|22</stp>
        <stp>DELL UN Equity</stp>
        <stp>CHG_PCT_YTD_RT</stp>
        <tr r="J137" s="2"/>
      </tp>
      <tp>
        <v>10.56</v>
        <stp/>
        <stp>BDP|4899442834592869487|22</stp>
        <stp>WBD UW Equity</stp>
        <stp>LAST_PRICE</stp>
        <tr r="B488" s="2"/>
        <tr r="C488" s="2"/>
        <tr r="D488" s="2"/>
        <tr r="E488" s="2"/>
      </tp>
      <tp>
        <v>39.049999999999997</v>
        <stp/>
        <stp>BDP|5598496534190671664|22</stp>
        <stp>CMCSA UW Equity</stp>
        <stp>LAST_PRICE</stp>
        <tr r="C101" s="2"/>
        <tr r="D101" s="2"/>
        <tr r="E101" s="2"/>
        <tr r="B101" s="2"/>
      </tp>
      <tp>
        <v>13.5129</v>
        <stp/>
        <stp>BDP|9795194460729058460|22</stp>
        <stp>SPBLPGPT Index</stp>
        <stp>CHG_PCT_YTD_RT</stp>
        <tr r="J515" s="2"/>
      </tp>
      <tp>
        <v>5.6018999999999997</v>
        <stp/>
        <stp>BDP|5025013557164900591|22</stp>
        <stp>SMI Index</stp>
        <stp>CHG_PCT_YTD_RT</stp>
        <tr r="J525" s="2"/>
      </tp>
      <tp>
        <v>20.236699999999999</v>
        <stp/>
        <stp>BDP|13516565201231392142|22</stp>
        <stp>SO UN Equity</stp>
        <stp>CHG_PCT_YTD_RT</stp>
        <tr r="J420" s="2"/>
      </tp>
      <tp>
        <v>21.051100000000002</v>
        <stp/>
        <stp>BDP|15027483451497940038|22</stp>
        <stp>EA UW Equity</stp>
        <stp>CHG_PCT_YTD_RT</stp>
        <tr r="J156" s="2"/>
      </tp>
      <tp>
        <v>-44.150399999999998</v>
        <stp/>
        <stp>BDP|296542737171601629|22</stp>
        <stp>EL UN Equity</stp>
        <stp>CHG_PCT_YTD_RT</stp>
        <tr r="J163" s="2"/>
      </tp>
      <tp>
        <v>-0.88260000944137573</v>
        <stp/>
        <stp>BDP|500827773168116927|22</stp>
        <stp>GPN UN Equity</stp>
        <stp>RT_PX_CHG_PCT_1D</stp>
        <tr r="F218" s="2"/>
      </tp>
      <tp>
        <v>-9.3435000000000006</v>
        <stp/>
        <stp>BDP|17705881940282942008|22</stp>
        <stp>PFE UN Equity</stp>
        <stp>CHG_PCT_YTD_RT</stp>
        <tr r="J372" s="2"/>
      </tp>
      <tp t="s">
        <v>#N/A N/A</v>
        <stp/>
        <stp>BDP|14642529364893511267|22</stp>
        <stp>CPB UW Equity</stp>
        <stp>CHG_PCT_YTD_RT</stp>
        <tr r="J114" s="2"/>
      </tp>
      <tp>
        <v>23.884399999999999</v>
        <stp/>
        <stp>BDP|15118174818865342286|22</stp>
        <stp>VMC UN Equity</stp>
        <stp>CHG_PCT_YTD_RT</stp>
        <tr r="J477" s="2"/>
      </tp>
      <tp>
        <v>45.81</v>
        <stp/>
        <stp>BDP|16193125876661625394|22</stp>
        <stp>AMP UN Equity</stp>
        <stp>CHG_PCT_YTD_RT</stp>
        <tr r="J34" s="2"/>
      </tp>
      <tp>
        <v>56.302599999999998</v>
        <stp/>
        <stp>BDP|11630616084343684497|22</stp>
        <stp>PGR UN Equity</stp>
        <stp>CHG_PCT_YTD_RT</stp>
        <tr r="J375" s="2"/>
      </tp>
      <tp>
        <v>-2.6614</v>
        <stp/>
        <stp>BDP|675625281402561150|22</stp>
        <stp>VRSK UW Equity</stp>
        <stp>REALTIME_5_DAY_CHANGE_PERCENT</stp>
        <tr r="G478" s="2"/>
      </tp>
      <tp>
        <v>15.9307</v>
        <stp/>
        <stp>BDP|15301028234973599759|22</stp>
        <stp>STX UW Equity</stp>
        <stp>CHG_PCT_YTD_RT</stp>
        <tr r="J428" s="2"/>
      </tp>
      <tp>
        <v>-3.8347001075744629</v>
        <stp/>
        <stp>BDP|528061181703872323|22</stp>
        <stp>WMB UN Equity</stp>
        <stp>RT_PX_CHG_PCT_1D</stp>
        <tr r="F494" s="2"/>
      </tp>
      <tp>
        <v>1.9178999999999999</v>
        <stp/>
        <stp>BDP|16778875382864631914|22</stp>
        <stp>MDT UN Equity</stp>
        <stp>CHG_PCT_YTD_RT</stp>
        <tr r="J309" s="2"/>
      </tp>
      <tp>
        <v>-22.0824</v>
        <stp/>
        <stp>BDP|13832326847190636494|22</stp>
        <stp>DOW UN Equity</stp>
        <stp>CHG_PCT_YTD_RT</stp>
        <tr r="J148" s="2"/>
      </tp>
      <tp>
        <v>18.36</v>
        <stp/>
        <stp>BDP|5342884215962369767|22</stp>
        <stp>IVZ UN Equity</stp>
        <stp>LAST_PRICE</stp>
        <tr r="D259" s="2"/>
        <tr r="E259" s="2"/>
        <tr r="B259" s="2"/>
        <tr r="C259" s="2"/>
      </tp>
      <tp>
        <v>-1.2467999999999999</v>
        <stp/>
        <stp>BDP|7628560876453504252|22</stp>
        <stp>SNPS UW Equity</stp>
        <stp>CHG_PCT_YTD_RT</stp>
        <tr r="J419" s="2"/>
      </tp>
      <tp>
        <v>83.01</v>
        <stp/>
        <stp>BDP|4203028295309325322|22</stp>
        <stp>BXP UN Equity</stp>
        <stp>LAST_PRICE</stp>
        <tr r="C77" s="2"/>
        <tr r="D77" s="2"/>
        <tr r="E77" s="2"/>
        <tr r="B77" s="2"/>
      </tp>
      <tp>
        <v>79.900499999999994</v>
        <stp/>
        <stp>BDP|1352918148439797678|22</stp>
        <stp>ANET UN Equity</stp>
        <stp>CHG_PCT_YTD_RT</stp>
        <tr r="J38" s="2"/>
      </tp>
      <tp>
        <v>25.176500000000001</v>
        <stp/>
        <stp>BDP|8827684685420689176|22</stp>
        <stp>CHRW UW Equity</stp>
        <stp>CHG_PCT_YTD_RT</stp>
        <tr r="J95" s="2"/>
      </tp>
      <tp>
        <v>77.31</v>
        <stp/>
        <stp>BDP|2557454858323915638|22</stp>
        <stp>LYB UN Equity</stp>
        <stp>LAST_PRICE</stp>
        <tr r="B298" s="2"/>
        <tr r="C298" s="2"/>
        <tr r="E298" s="2"/>
        <tr r="D298" s="2"/>
      </tp>
      <tp>
        <v>23.11</v>
        <stp/>
        <stp>BDP|1428287594270846503|22</stp>
        <stp>HPE UN Equity</stp>
        <stp>LAST_PRICE</stp>
        <tr r="B233" s="2"/>
        <tr r="C233" s="2"/>
        <tr r="E233" s="2"/>
        <tr r="D233" s="2"/>
      </tp>
      <tp>
        <v>48.802199999999999</v>
        <stp/>
        <stp>BDP|3641313023085890900|22</stp>
        <stp>AMZN UW Equity</stp>
        <stp>CHG_PCT_YTD_RT</stp>
        <tr r="J37" s="2"/>
      </tp>
      <tp>
        <v>19.674099999999999</v>
        <stp/>
        <stp>BDP|3244089751212989978|22</stp>
        <stp>NWSA UW Equity</stp>
        <stp>CHG_PCT_YTD_RT</stp>
        <tr r="J353" s="2"/>
      </tp>
      <tp>
        <v>67.930000000000007</v>
        <stp/>
        <stp>BDP|2523406939197060424|22</stp>
        <stp>SYF UN Equity</stp>
        <stp>LAST_PRICE</stp>
        <tr r="B433" s="2"/>
        <tr r="C433" s="2"/>
        <tr r="D433" s="2"/>
        <tr r="E433" s="2"/>
      </tp>
      <tp>
        <v>-24.475999999999999</v>
        <stp/>
        <stp>BDP|7548938040862285502|22</stp>
        <stp>PARA UW Equity</stp>
        <stp>CHG_PCT_YTD_RT</stp>
        <tr r="J365" s="2"/>
      </tp>
      <tp>
        <v>126.86</v>
        <stp/>
        <stp>BDP|1187836478315001475|22</stp>
        <stp>PPG UN Equity</stp>
        <stp>LAST_PRICE</stp>
        <tr r="D387" s="2"/>
        <tr r="E387" s="2"/>
        <tr r="B387" s="2"/>
        <tr r="C387" s="2"/>
      </tp>
      <tp>
        <v>6.7655000000000003</v>
        <stp/>
        <stp>BDP|4838792411796514705|22</stp>
        <stp>CTSH UW Equity</stp>
        <stp>CHG_PCT_YTD_RT</stp>
        <tr r="J126" s="2"/>
      </tp>
      <tp>
        <v>23273.25</v>
        <stp/>
        <stp>BDP|1579990156958452629|22</stp>
        <stp>TWSE Index</stp>
        <stp>LAST_PRICE</stp>
        <tr r="B534" s="2"/>
        <tr r="C534" s="2"/>
        <tr r="D534" s="2"/>
        <tr r="E534" s="2"/>
      </tp>
      <tp>
        <v>9.9299999999999999E-2</v>
        <stp/>
        <stp>BDP|10733710831019020382|22</stp>
        <stp>BRK/B UN Equity</stp>
        <stp>CHG_PCT_1M_RT</stp>
        <tr r="H72" s="2"/>
      </tp>
      <tp>
        <v>-21.1831</v>
        <stp/>
        <stp>BDP|16749636427087277786|22</stp>
        <stp>CNC UN Equity</stp>
        <stp>CHG_PCT_YTD_RT</stp>
        <tr r="J106" s="2"/>
      </tp>
      <tp>
        <v>41.192399999999999</v>
        <stp/>
        <stp>BDP|15515233758373097019|22</stp>
        <stp>CMG UN Equity</stp>
        <stp>CHG_PCT_YTD_RT</stp>
        <tr r="J103" s="2"/>
      </tp>
      <tp>
        <v>-4.5552999999999999</v>
        <stp/>
        <stp>BDP|11156028051437689103|22</stp>
        <stp>JNJ UN Equity</stp>
        <stp>CHG_PCT_YTD_RT</stp>
        <tr r="J265" s="2"/>
      </tp>
      <tp>
        <v>0.19419999420642853</v>
        <stp/>
        <stp>BDP|140771055875786856|22</stp>
        <stp>AVB UN Equity</stp>
        <stp>RT_PX_CHG_PCT_1D</stp>
        <tr r="F48" s="2"/>
      </tp>
      <tp>
        <v>40.878599999999999</v>
        <stp/>
        <stp>BDP|12573620247277372480|22</stp>
        <stp>COF UN Equity</stp>
        <stp>CHG_PCT_YTD_RT</stp>
        <tr r="J108" s="2"/>
      </tp>
      <tp>
        <v>32.063299999999998</v>
        <stp/>
        <stp>BDP|11799467602615428278|22</stp>
        <stp>PNC UN Equity</stp>
        <stp>CHG_PCT_YTD_RT</stp>
        <tr r="J382" s="2"/>
      </tp>
      <tp>
        <v>43.862099999999998</v>
        <stp/>
        <stp>BDP|16864118761165051538|22</stp>
        <stp>MMM UN Equity</stp>
        <stp>CHG_PCT_YTD_RT</stp>
        <tr r="J318" s="2"/>
      </tp>
      <tp>
        <v>380.32</v>
        <stp/>
        <stp>BDP|504771308510287623|22</stp>
        <stp>POOL UW Equity</stp>
        <stp>LAST_PRICE</stp>
        <tr r="B386" s="2"/>
        <tr r="E386" s="2"/>
        <tr r="C386" s="2"/>
        <tr r="D386" s="2"/>
      </tp>
      <tp>
        <v>-1.4456000328063965</v>
        <stp/>
        <stp>BDP|812399022977733491|22</stp>
        <stp>WRB UN Equity</stp>
        <stp>RT_PX_CHG_PCT_1D</stp>
        <tr r="F496" s="2"/>
      </tp>
      <tp>
        <v>17.236899999999999</v>
        <stp/>
        <stp>BDP|14044495199263716274|22</stp>
        <stp>UDR UN Equity</stp>
        <stp>CHG_PCT_YTD_RT</stp>
        <tr r="J465" s="2"/>
      </tp>
      <tp>
        <v>-27.204000000000001</v>
        <stp/>
        <stp>BDP|15764658539957883406|22</stp>
        <stp>MOS UN Equity</stp>
        <stp>CHG_PCT_YTD_RT</stp>
        <tr r="J322" s="2"/>
      </tp>
      <tp>
        <v>14.4221</v>
        <stp/>
        <stp>BDP|15925405139501978274|22</stp>
        <stp>BMY UN Equity</stp>
        <stp>CHG_PCT_YTD_RT</stp>
        <tr r="J70" s="2"/>
      </tp>
      <tp>
        <v>29.360399999999998</v>
        <stp/>
        <stp>BDP|141075736946820155|22</stp>
        <stp>SCHW UN Equity</stp>
        <stp>CHG_PCT_3M_RT</stp>
        <tr r="I413" s="2"/>
      </tp>
      <tp>
        <v>38.815899999999999</v>
        <stp/>
        <stp>BDP|7420577273337078006|22</stp>
        <stp>CTLT UN Equity</stp>
        <stp>CHG_PCT_YTD_RT</stp>
        <tr r="J124" s="2"/>
      </tp>
      <tp>
        <v>-5.6134000000000004</v>
        <stp/>
        <stp>BDP|5870991585090233807|22</stp>
        <stp>ANSS UW Equity</stp>
        <stp>CHG_PCT_YTD_RT</stp>
        <tr r="J39" s="2"/>
      </tp>
      <tp>
        <v>73.66</v>
        <stp/>
        <stp>BDP|2141173549322739810|22</stp>
        <stp>EQR UN Equity</stp>
        <stp>LAST_PRICE</stp>
        <tr r="E171" s="2"/>
        <tr r="B171" s="2"/>
        <tr r="C171" s="2"/>
        <tr r="D171" s="2"/>
      </tp>
      <tp>
        <v>82.43</v>
        <stp/>
        <stp>BDP|1730141965480848254|22</stp>
        <stp>TXT UN Equity</stp>
        <stp>LAST_PRICE</stp>
        <tr r="C461" s="2"/>
        <tr r="D461" s="2"/>
        <tr r="E461" s="2"/>
        <tr r="B461" s="2"/>
      </tp>
      <tp>
        <v>99.26</v>
        <stp/>
        <stp>BDP|4248821551851582283|22</stp>
        <stp>COO UW Equity</stp>
        <stp>LAST_PRICE</stp>
        <tr r="C109" s="2"/>
        <tr r="D109" s="2"/>
        <tr r="E109" s="2"/>
        <tr r="B109" s="2"/>
      </tp>
      <tp>
        <v>12.9032</v>
        <stp/>
        <stp>BDP|5962152237594211025|22</stp>
        <stp>CBOE UF Equity</stp>
        <stp>CHG_PCT_YTD_RT</stp>
        <tr r="J84" s="2"/>
      </tp>
      <tp>
        <v>70.631699999999995</v>
        <stp/>
        <stp>BDP|7394416597838512212|22</stp>
        <stp>GRMN UN Equity</stp>
        <stp>CHG_PCT_YTD_RT</stp>
        <tr r="J219" s="2"/>
      </tp>
      <tp>
        <v>34.908700000000003</v>
        <stp/>
        <stp>BDP|1960682528776831908|22</stp>
        <stp>FITB UW Equity</stp>
        <stp>CHG_PCT_YTD_RT</stp>
        <tr r="J195" s="2"/>
      </tp>
      <tp>
        <v>286.24</v>
        <stp/>
        <stp>BDP|1562015902929223151|22</stp>
        <stp>HUM UN Equity</stp>
        <stp>LAST_PRICE</stp>
        <tr r="B240" s="2"/>
        <tr r="C240" s="2"/>
        <tr r="D240" s="2"/>
        <tr r="E240" s="2"/>
      </tp>
      <tp>
        <v>39.6967</v>
        <stp/>
        <stp>BDP|5822627406153442957|22</stp>
        <stp>C UN Equity</stp>
        <stp>CHG_PCT_YTD_RT</stp>
        <tr r="J78" s="2"/>
      </tp>
      <tp>
        <v>36.809100000000001</v>
        <stp/>
        <stp>BDP|14325813223469705918|22</stp>
        <stp>PM UN Equity</stp>
        <stp>CHG_PCT_YTD_RT</stp>
        <tr r="J381" s="2"/>
      </tp>
      <tp>
        <v>18.451799999999999</v>
        <stp/>
        <stp>BDP|11995932927178490133|22</stp>
        <stp>HSI Index</stp>
        <stp>CHG_PCT_3M_RT</stp>
        <tr r="I529" s="2"/>
      </tp>
      <tp>
        <v>12.922599999999999</v>
        <stp/>
        <stp>BDP|14273039923892618697|22</stp>
        <stp>XOM UN Equity</stp>
        <stp>CHG_PCT_YTD_RT</stp>
        <tr r="J502" s="2"/>
      </tp>
      <tp>
        <v>-28.488499999999998</v>
        <stp/>
        <stp>BDP|17950342818592449121|22</stp>
        <stp>NKE UN Equity</stp>
        <stp>CHG_PCT_YTD_RT</stp>
        <tr r="J342" s="2"/>
      </tp>
      <tp>
        <v>-0.71770000457763672</v>
        <stp/>
        <stp>BDP|461441213540241774|22</stp>
        <stp>NEE UN Equity</stp>
        <stp>RT_PX_CHG_PCT_1D</stp>
        <tr r="F338" s="2"/>
      </tp>
      <tp>
        <v>2.689500093460083</v>
        <stp/>
        <stp>BDP|134517151343132956|22</stp>
        <stp>KDP UW Equity</stp>
        <stp>RT_PX_CHG_PCT_1D</stp>
        <tr r="F269" s="2"/>
      </tp>
      <tp>
        <v>-3.21</v>
        <stp/>
        <stp>BDP|15362532545260420818|22</stp>
        <stp>CAG UN Equity</stp>
        <stp>CHG_PCT_YTD_RT</stp>
        <tr r="J79" s="2"/>
      </tp>
      <tp>
        <v>11.9818</v>
        <stp/>
        <stp>BDP|10424951091717937290|22</stp>
        <stp>CHD UN Equity</stp>
        <stp>CHG_PCT_YTD_RT</stp>
        <tr r="J94" s="2"/>
      </tp>
      <tp>
        <v>10.4993</v>
        <stp/>
        <stp>BDP|13592255751828244551|22</stp>
        <stp>FDX UN Equity</stp>
        <stp>CHG_PCT_YTD_RT</stp>
        <tr r="J189" s="2"/>
      </tp>
      <tp>
        <v>26.508800000000001</v>
        <stp/>
        <stp>BDP|14889068729881678279|22</stp>
        <stp>UHS UN Equity</stp>
        <stp>CHG_PCT_YTD_RT</stp>
        <tr r="J466" s="2"/>
      </tp>
      <tp>
        <v>39.409999999999997</v>
        <stp/>
        <stp>BDP|8542557857553743437|22</stp>
        <stp>LKQ UW Equity</stp>
        <stp>LAST_PRICE</stp>
        <tr r="C288" s="2"/>
        <tr r="D288" s="2"/>
        <tr r="E288" s="2"/>
        <tr r="B288" s="2"/>
      </tp>
      <tp>
        <v>9120.01</v>
        <stp/>
        <stp>BDP|4659838108391856602|22</stp>
        <stp>NVR UN Equity</stp>
        <stp>LAST_PRICE</stp>
        <tr r="D351" s="2"/>
        <tr r="E351" s="2"/>
        <tr r="B351" s="2"/>
        <tr r="C351" s="2"/>
      </tp>
      <tp>
        <v>119.56</v>
        <stp/>
        <stp>BDP|3107410375171995050|22</stp>
        <stp>TER UW Equity</stp>
        <stp>LAST_PRICE</stp>
        <tr r="B442" s="2"/>
        <tr r="C442" s="2"/>
        <tr r="D442" s="2"/>
        <tr r="E442" s="2"/>
      </tp>
      <tp>
        <v>-3.3466999999999998</v>
        <stp/>
        <stp>BDP|9362613574490284172|22</stp>
        <stp>MPWR UW Equity</stp>
        <stp>CHG_PCT_YTD_RT</stp>
        <tr r="J324" s="2"/>
      </tp>
      <tp>
        <v>51.31</v>
        <stp/>
        <stp>BDP|5231935001026065405|22</stp>
        <stp>USB UN Equity</stp>
        <stp>LAST_PRICE</stp>
        <tr r="D472" s="2"/>
        <tr r="E472" s="2"/>
        <tr r="B472" s="2"/>
        <tr r="C472" s="2"/>
      </tp>
      <tp>
        <v>381.11</v>
        <stp/>
        <stp>BDP|2600898768721833981|22</stp>
        <stp>SYK UN Equity</stp>
        <stp>LAST_PRICE</stp>
        <tr r="E434" s="2"/>
        <tr r="B434" s="2"/>
        <tr r="C434" s="2"/>
        <tr r="D434" s="2"/>
      </tp>
      <tp>
        <v>-38.273699999999998</v>
        <stp/>
        <stp>BDP|1304365214279798048|22</stp>
        <stp>QRVO UW Equity</stp>
        <stp>CHG_PCT_YTD_RT</stp>
        <tr r="J396" s="2"/>
      </tp>
      <tp>
        <v>0.93869999999999998</v>
        <stp/>
        <stp>BDP|10983714660333209978|22</stp>
        <stp>INDU Index</stp>
        <stp>CHG_PCT_1M_RT</stp>
        <tr r="H3" s="2"/>
      </tp>
      <tp>
        <v>2.6415000000000002</v>
        <stp/>
        <stp>BDP|15464423751771526526|22</stp>
        <stp>DRI UN Equity</stp>
        <stp>CHG_PCT_YTD_RT</stp>
        <tr r="J150" s="2"/>
      </tp>
      <tp>
        <v>12.402699999999999</v>
        <stp/>
        <stp>BDP|12644705759682741429|22</stp>
        <stp>CME UW Equity</stp>
        <stp>CHG_PCT_YTD_RT</stp>
        <tr r="J102" s="2"/>
      </tp>
      <tp>
        <v>27.265699999999999</v>
        <stp/>
        <stp>BDP|15114297563053919991|22</stp>
        <stp>SYK UN Equity</stp>
        <stp>CHG_PCT_YTD_RT</stp>
        <tr r="J434" s="2"/>
      </tp>
      <tp>
        <v>5.6662999999999997</v>
        <stp/>
        <stp>BDP|10159180209681114653|22</stp>
        <stp>MTD UN Equity</stp>
        <stp>CHG_PCT_YTD_RT</stp>
        <tr r="J333" s="2"/>
      </tp>
      <tp>
        <v>3.1139999999999999</v>
        <stp/>
        <stp>BDP|12920291140770053628|22</stp>
        <stp>MPC UN Equity</stp>
        <stp>CHG_PCT_YTD_RT</stp>
        <tr r="J323" s="2"/>
      </tp>
      <tp>
        <v>52.962400000000002</v>
        <stp/>
        <stp>BDP|15494108110492828644|22</stp>
        <stp>MSI UN Equity</stp>
        <stp>CHG_PCT_YTD_RT</stp>
        <tr r="J330" s="2"/>
      </tp>
      <tp>
        <v>3.8672</v>
        <stp/>
        <stp>BDP|15291965383273497654|22</stp>
        <stp>HSY UN Equity</stp>
        <stp>CHG_PCT_YTD_RT</stp>
        <tr r="J238" s="2"/>
      </tp>
      <tp>
        <v>30.0594</v>
        <stp/>
        <stp>BDP|17786461585801647437|22</stp>
        <stp>BRK/B UN Equity</stp>
        <stp>CHG_PCT_YTD_RT</stp>
        <tr r="J72" s="2"/>
      </tp>
      <tp>
        <v>44.736800000000002</v>
        <stp/>
        <stp>BDP|1954667441398329172|22</stp>
        <stp>NTAP UW Equity</stp>
        <stp>CHG_PCT_YTD_RT</stp>
        <tr r="J347" s="2"/>
      </tp>
      <tp>
        <v>42.73</v>
        <stp/>
        <stp>BDP|4880246841977536841|22</stp>
        <stp>DOW UN Equity</stp>
        <stp>LAST_PRICE</stp>
        <tr r="D148" s="2"/>
        <tr r="E148" s="2"/>
        <tr r="B148" s="2"/>
        <tr r="C148" s="2"/>
      </tp>
      <tp>
        <v>223.01</v>
        <stp/>
        <stp>BDP|3295231706490823791|22</stp>
        <stp>BDX UN Equity</stp>
        <stp>LAST_PRICE</stp>
        <tr r="D60" s="2"/>
        <tr r="E60" s="2"/>
        <tr r="B60" s="2"/>
        <tr r="C60" s="2"/>
      </tp>
      <tp>
        <v>77.64</v>
        <stp/>
        <stp>BDP|7597117016557658946|22</stp>
        <stp>NKE UN Equity</stp>
        <stp>LAST_PRICE</stp>
        <tr r="E342" s="2"/>
        <tr r="B342" s="2"/>
        <tr r="C342" s="2"/>
        <tr r="D342" s="2"/>
      </tp>
      <tp>
        <v>91.17</v>
        <stp/>
        <stp>BDP|9637848976255903432|22</stp>
        <stp>AEE UN Equity</stp>
        <stp>LAST_PRICE</stp>
        <tr r="B17" s="2"/>
        <tr r="C17" s="2"/>
        <tr r="E17" s="2"/>
        <tr r="D17" s="2"/>
      </tp>
      <tp>
        <v>27.1</v>
        <stp/>
        <stp>BDP|2845372595920928748|22</stp>
        <stp>KMI UN Equity</stp>
        <stp>LAST_PRICE</stp>
        <tr r="B277" s="2"/>
        <tr r="C277" s="2"/>
        <tr r="D277" s="2"/>
        <tr r="E277" s="2"/>
      </tp>
      <tp>
        <v>-2.4851999999999999</v>
        <stp/>
        <stp>BDP|320752062407001089|22</stp>
        <stp>GD UN Equity</stp>
        <stp>REALTIME_5_DAY_CHANGE_PERCENT</stp>
        <tr r="G203" s="2"/>
      </tp>
      <tp>
        <v>-0.61440002918243408</v>
        <stp/>
        <stp>BDP|17619753738038543088|22</stp>
        <stp>SPX Index</stp>
        <stp>RT_PX_CHG_PCT_1D</stp>
        <tr r="F4" s="2"/>
      </tp>
      <tp>
        <v>-4.7312000000000003</v>
        <stp/>
        <stp>BDP|599931920433118297|22</stp>
        <stp>BIIB UW Equity</stp>
        <stp>REALTIME_5_DAY_CHANGE_PERCENT</stp>
        <tr r="G64" s="2"/>
      </tp>
      <tp>
        <v>58.203899999999997</v>
        <stp/>
        <stp>BDP|261505940007944748|22</stp>
        <stp>RL UN Equity</stp>
        <stp>CHG_PCT_YTD_RT</stp>
        <tr r="J402" s="2"/>
      </tp>
      <tp>
        <v>77.873800000000003</v>
        <stp/>
        <stp>BDP|15266826076416279673|22</stp>
        <stp>SYF UN Equity</stp>
        <stp>CHG_PCT_YTD_RT</stp>
        <tr r="J433" s="2"/>
      </tp>
      <tp>
        <v>-18.4056</v>
        <stp/>
        <stp>BDP|15583354371443409971|22</stp>
        <stp>OXY UN Equity</stp>
        <stp>CHG_PCT_YTD_RT</stp>
        <tr r="J363" s="2"/>
      </tp>
      <tp>
        <v>186.93</v>
        <stp/>
        <stp>BDP|901285620930452811|22</stp>
        <stp>TRGP UN Equity</stp>
        <stp>LAST_PRICE</stp>
        <tr r="E451" s="2"/>
        <tr r="B451" s="2"/>
        <tr r="C451" s="2"/>
        <tr r="D451" s="2"/>
      </tp>
      <tp>
        <v>510.01</v>
        <stp/>
        <stp>BDP|9186654221577222477|22</stp>
        <stp>LMT UN Equity</stp>
        <stp>LAST_PRICE</stp>
        <tr r="E290" s="2"/>
        <tr r="B290" s="2"/>
        <tr r="C290" s="2"/>
        <tr r="D290" s="2"/>
      </tp>
      <tp>
        <v>229.76</v>
        <stp/>
        <stp>BDP|6266336684675848324|22</stp>
        <stp>LHX UN Equity</stp>
        <stp>LAST_PRICE</stp>
        <tr r="B286" s="2"/>
        <tr r="E286" s="2"/>
        <tr r="C286" s="2"/>
        <tr r="D286" s="2"/>
      </tp>
      <tp>
        <v>87.2</v>
        <stp/>
        <stp>BDP|9961581030947352638|22</stp>
        <stp>KMX UN Equity</stp>
        <stp>LAST_PRICE</stp>
        <tr r="B278" s="2"/>
        <tr r="E278" s="2"/>
        <tr r="C278" s="2"/>
        <tr r="D278" s="2"/>
      </tp>
      <tp>
        <v>43.73</v>
        <stp/>
        <stp>BDP|7533515935951557053|22</stp>
        <stp>FCX UN Equity</stp>
        <stp>LAST_PRICE</stp>
        <tr r="E187" s="2"/>
        <tr r="B187" s="2"/>
        <tr r="C187" s="2"/>
        <tr r="D187" s="2"/>
      </tp>
      <tp>
        <v>229.65</v>
        <stp/>
        <stp>BDP|8082916744555166651|22</stp>
        <stp>IEX UN Equity</stp>
        <stp>LAST_PRICE</stp>
        <tr r="E245" s="2"/>
        <tr r="B245" s="2"/>
        <tr r="C245" s="2"/>
        <tr r="D245" s="2"/>
      </tp>
      <tp>
        <v>87.662300000000002</v>
        <stp/>
        <stp>BDP|2810446472966198395|22</stp>
        <stp>NFLX UW Equity</stp>
        <stp>CHG_PCT_YTD_RT</stp>
        <tr r="J340" s="2"/>
      </tp>
      <tp>
        <v>-0.96419999999999995</v>
        <stp/>
        <stp>BDP|5168972285749449442|22</stp>
        <stp>HSIC UW Equity</stp>
        <stp>CHG_PCT_YTD_RT</stp>
        <tr r="J236" s="2"/>
      </tp>
      <tp>
        <v>74.7</v>
        <stp/>
        <stp>BDP|9528847465974734542|22</stp>
        <stp>NEE UN Equity</stp>
        <stp>LAST_PRICE</stp>
        <tr r="E338" s="2"/>
        <tr r="B338" s="2"/>
        <tr r="C338" s="2"/>
        <tr r="D338" s="2"/>
      </tp>
      <tp>
        <v>-10.280200000000001</v>
        <stp/>
        <stp>BDP|9254192945561589164|22</stp>
        <stp>REGN UW Equity</stp>
        <stp>CHG_PCT_YTD_RT</stp>
        <tr r="J399" s="2"/>
      </tp>
      <tp>
        <v>291.85000000000002</v>
        <stp/>
        <stp>BDP|8404024833540355279|22</stp>
        <stp>AJG UN Equity</stp>
        <stp>LAST_PRICE</stp>
        <tr r="C23" s="2"/>
        <tr r="D23" s="2"/>
        <tr r="E23" s="2"/>
        <tr r="B23" s="2"/>
      </tp>
      <tp t="s">
        <v>#N/A N/A</v>
        <stp/>
        <stp>BDP|4753061573645001455|22</stp>
        <stp>AMTM UN Equity</stp>
        <stp>CHG_PCT_YTD_RT</stp>
        <tr r="J36" s="2"/>
      </tp>
      <tp>
        <v>-5.1571999999999996</v>
        <stp/>
        <stp>BDP|1136798375614878067|22</stp>
        <stp>EXPD UN Equity</stp>
        <stp>CHG_PCT_YTD_RT</stp>
        <tr r="J181" s="2"/>
      </tp>
      <tp>
        <v>41.43</v>
        <stp/>
        <stp>BDP|85545724981198140|22</stp>
        <stp>BKR UW Equity</stp>
        <stp>LAST_PRICE</stp>
        <tr r="E67" s="2"/>
        <tr r="B67" s="2"/>
        <tr r="C67" s="2"/>
        <tr r="D67" s="2"/>
      </tp>
      <tp>
        <v>-5.5864000000000003</v>
        <stp/>
        <stp>BDP|15147302306137231451|22</stp>
        <stp>IBOV Index</stp>
        <stp>CHG_PCT_3M_RT</stp>
        <tr r="I511" s="2"/>
      </tp>
      <tp>
        <v>16.5977</v>
        <stp/>
        <stp>BDP|13148637697167112944|22</stp>
        <stp>CL UN Equity</stp>
        <stp>CHG_PCT_YTD_RT</stp>
        <tr r="J99" s="2"/>
      </tp>
      <tp>
        <v>12.1114</v>
        <stp/>
        <stp>BDP|16528129601339565890|22</stp>
        <stp>LVS UN Equity</stp>
        <stp>CHG_PCT_YTD_RT</stp>
        <tr r="J296" s="2"/>
      </tp>
      <tp>
        <v>-18.253499999999999</v>
        <stp/>
        <stp>BDP|16919146878600007088|22</stp>
        <stp>UPS UN Equity</stp>
        <stp>CHG_PCT_YTD_RT</stp>
        <tr r="J470" s="2"/>
      </tp>
      <tp>
        <v>2.6071</v>
        <stp/>
        <stp>BDP|17378507486381068393|22</stp>
        <stp>EXR UN Equity</stp>
        <stp>CHG_PCT_YTD_RT</stp>
        <tr r="J183" s="2"/>
      </tp>
      <tp>
        <v>21.400300000000001</v>
        <stp/>
        <stp>BDP|14076467150286266038|22</stp>
        <stp>ESS UN Equity</stp>
        <stp>CHG_PCT_YTD_RT</stp>
        <tr r="J175" s="2"/>
      </tp>
      <tp>
        <v>-20.829699999999999</v>
        <stp/>
        <stp>BDP|4269998472375872248|22</stp>
        <stp>LULU UW Equity</stp>
        <stp>CHG_PCT_YTD_RT</stp>
        <tr r="J294" s="2"/>
      </tp>
      <tp>
        <v>44.89</v>
        <stp/>
        <stp>BDP|5244219283523110802|22</stp>
        <stp>UDR UN Equity</stp>
        <stp>LAST_PRICE</stp>
        <tr r="C465" s="2"/>
        <tr r="D465" s="2"/>
        <tr r="E465" s="2"/>
        <tr r="B465" s="2"/>
      </tp>
      <tp>
        <v>312.22000000000003</v>
        <stp/>
        <stp>BDP|6131067586824322782|22</stp>
        <stp>WTW UW Equity</stp>
        <stp>LAST_PRICE</stp>
        <tr r="D498" s="2"/>
        <tr r="E498" s="2"/>
        <tr r="B498" s="2"/>
        <tr r="C498" s="2"/>
      </tp>
      <tp>
        <v>166.01</v>
        <stp/>
        <stp>BDP|1047800638008323746|22</stp>
        <stp>LEN UN Equity</stp>
        <stp>LAST_PRICE</stp>
        <tr r="C284" s="2"/>
        <tr r="D284" s="2"/>
        <tr r="E284" s="2"/>
        <tr r="B284" s="2"/>
      </tp>
      <tp>
        <v>5.3013000000000003</v>
        <stp/>
        <stp>BDP|8691204742497689459|22</stp>
        <stp>WYNN UW Equity</stp>
        <stp>CHG_PCT_YTD_RT</stp>
        <tr r="J500" s="2"/>
      </tp>
      <tp>
        <v>13.651300000000001</v>
        <stp/>
        <stp>BDP|6039004461152842605|22</stp>
        <stp>PAYC UN Equity</stp>
        <stp>CHG_PCT_YTD_RT</stp>
        <tr r="J366" s="2"/>
      </tp>
      <tp>
        <v>591.9</v>
        <stp/>
        <stp>BDP|4038446643863988435|22</stp>
        <stp>MCK UN Equity</stp>
        <stp>LAST_PRICE</stp>
        <tr r="C306" s="2"/>
        <tr r="E306" s="2"/>
        <tr r="B306" s="2"/>
        <tr r="D306" s="2"/>
      </tp>
      <tp>
        <v>74.08</v>
        <stp/>
        <stp>BDP|8081251772616303257|22</stp>
        <stp>AIG UN Equity</stp>
        <stp>LAST_PRICE</stp>
        <tr r="C21" s="2"/>
        <tr r="E21" s="2"/>
        <tr r="B21" s="2"/>
        <tr r="D21" s="2"/>
      </tp>
      <tp>
        <v>560.62</v>
        <stp/>
        <stp>BDP|1483966010640095774|22</stp>
        <stp>UNH UN Equity</stp>
        <stp>LAST_PRICE</stp>
        <tr r="D468" s="2"/>
        <tr r="E468" s="2"/>
        <tr r="B468" s="2"/>
        <tr r="C468" s="2"/>
      </tp>
      <tp>
        <v>127210.19</v>
        <stp/>
        <stp>BDP|1908557693476516271|22</stp>
        <stp>IBOV Index</stp>
        <stp>LAST_PRICE</stp>
        <tr r="C511" s="2"/>
        <tr r="D511" s="2"/>
        <tr r="E511" s="2"/>
        <tr r="B511" s="2"/>
      </tp>
      <tp>
        <v>10.777100000000001</v>
        <stp/>
        <stp>BDP|10688314290658190747|22</stp>
        <stp>FBMKLCI Index</stp>
        <stp>CHG_PCT_YTD_RT</stp>
        <tr r="J536" s="2"/>
      </tp>
      <tp>
        <v>54.008899999999997</v>
        <stp/>
        <stp>BDP|16441586458729978040|22</stp>
        <stp>GS UN Equity</stp>
        <stp>CHG_PCT_YTD_RT</stp>
        <tr r="J220" s="2"/>
      </tp>
      <tp>
        <v>2.7597000598907471</v>
        <stp/>
        <stp>BDP|17513760816145997905|22</stp>
        <stp>HSI Index</stp>
        <stp>RT_PX_CHG_PCT_1D</stp>
        <tr r="F529" s="2"/>
      </tp>
      <tp>
        <v>2617.8000000000002</v>
        <stp/>
        <stp>BDP|17460895112591288047|22</stp>
        <stp>OMX Index</stp>
        <stp>LAST_PRICE</stp>
        <tr r="C524" s="2"/>
        <tr r="D524" s="2"/>
        <tr r="E524" s="2"/>
        <tr r="B524" s="2"/>
      </tp>
      <tp>
        <v>-8.0394000000000005</v>
        <stp/>
        <stp>BDP|12366472146825465616|22</stp>
        <stp>GPN UN Equity</stp>
        <stp>CHG_PCT_YTD_RT</stp>
        <tr r="J218" s="2"/>
      </tp>
      <tp>
        <v>46.23</v>
        <stp/>
        <stp>BDP|832198026434757002|22</stp>
        <stp>FOXA UW Equity</stp>
        <stp>LAST_PRICE</stp>
        <tr r="B198" s="2"/>
        <tr r="C198" s="2"/>
        <tr r="D198" s="2"/>
        <tr r="E198" s="2"/>
      </tp>
      <tp>
        <v>3.3323</v>
        <stp/>
        <stp>BDP|18438325038689635220|22</stp>
        <stp>HRL UN Equity</stp>
        <stp>CHG_PCT_YTD_RT</stp>
        <tr r="J235" s="2"/>
      </tp>
      <tp>
        <v>-0.1734</v>
        <stp/>
        <stp>BDP|578627478656434336|22</stp>
        <stp>DECK UN Equity</stp>
        <stp>REALTIME_5_DAY_CHANGE_PERCENT</stp>
        <tr r="G136" s="2"/>
      </tp>
      <tp>
        <v>-4.3952</v>
        <stp/>
        <stp>BDP|639584737890162496|22</stp>
        <stp>NXPI UW Equity</stp>
        <stp>CHG_PCT_1M_RT</stp>
        <tr r="H354" s="2"/>
      </tp>
      <tp>
        <v>392.01</v>
        <stp/>
        <stp>BDP|3060949171275359838|22</stp>
        <stp>WAT UN Equity</stp>
        <stp>LAST_PRICE</stp>
        <tr r="D486" s="2"/>
        <tr r="E486" s="2"/>
        <tr r="B486" s="2"/>
        <tr r="C486" s="2"/>
      </tp>
      <tp>
        <v>135.29</v>
        <stp/>
        <stp>BDP|5511210914882678258|22</stp>
        <stp>TGT UN Equity</stp>
        <stp>LAST_PRICE</stp>
        <tr r="C445" s="2"/>
        <tr r="D445" s="2"/>
        <tr r="E445" s="2"/>
        <tr r="B445" s="2"/>
      </tp>
      <tp>
        <v>83.78</v>
        <stp/>
        <stp>BDP|4400090837428694787|22</stp>
        <stp>FIS UN Equity</stp>
        <stp>LAST_PRICE</stp>
        <tr r="B194" s="2"/>
        <tr r="C194" s="2"/>
        <tr r="D194" s="2"/>
        <tr r="E194" s="2"/>
      </tp>
      <tp>
        <v>114.61</v>
        <stp/>
        <stp>BDP|4339711891463889118|22</stp>
        <stp>DIS UN Equity</stp>
        <stp>LAST_PRICE</stp>
        <tr r="B143" s="2"/>
        <tr r="E143" s="2"/>
        <tr r="C143" s="2"/>
        <tr r="D143" s="2"/>
      </tp>
      <tp>
        <v>6.0742000000000003</v>
        <stp/>
        <stp>BDP|4371523891871026648|22</stp>
        <stp>HOLX UW Equity</stp>
        <stp>CHG_PCT_YTD_RT</stp>
        <tr r="J231" s="2"/>
      </tp>
      <tp>
        <v>132.97</v>
        <stp/>
        <stp>BDP|1037312215788208236|22</stp>
        <stp>MHK UN Equity</stp>
        <stp>LAST_PRICE</stp>
        <tr r="B313" s="2"/>
        <tr r="C313" s="2"/>
        <tr r="D313" s="2"/>
        <tr r="E313" s="2"/>
      </tp>
      <tp>
        <v>18.553599999999999</v>
        <stp/>
        <stp>BDP|13708712529856224533|22</stp>
        <stp>USB UN Equity</stp>
        <stp>CHG_PCT_YTD_RT</stp>
        <tr r="J472" s="2"/>
      </tp>
      <tp>
        <v>-6.1056999999999997</v>
        <stp/>
        <stp>BDP|16948152427177001810|22</stp>
        <stp>PEP UW Equity</stp>
        <stp>CHG_PCT_YTD_RT</stp>
        <tr r="J371" s="2"/>
      </tp>
      <tp>
        <v>2.9148000000000001</v>
        <stp/>
        <stp>BDP|17772886538864530862|22</stp>
        <stp>IVZ UN Equity</stp>
        <stp>CHG_PCT_YTD_RT</stp>
        <tr r="J259" s="2"/>
      </tp>
      <tp>
        <v>10.1732</v>
        <stp/>
        <stp>BDP|16745826847050443061|22</stp>
        <stp>TER UW Equity</stp>
        <stp>CHG_PCT_YTD_RT</stp>
        <tr r="J442" s="2"/>
      </tp>
      <tp>
        <v>2.4994000000000001</v>
        <stp/>
        <stp>BDP|14126644707238972486|22</stp>
        <stp>TXT UN Equity</stp>
        <stp>CHG_PCT_YTD_RT</stp>
        <tr r="J461" s="2"/>
      </tp>
      <tp>
        <v>158.19999999999999</v>
        <stp/>
        <stp>BDP|4206281797949534716|22</stp>
        <stp>DGX UN Equity</stp>
        <stp>LAST_PRICE</stp>
        <tr r="D140" s="2"/>
        <tr r="E140" s="2"/>
        <tr r="B140" s="2"/>
        <tr r="C140" s="2"/>
      </tp>
      <tp>
        <v>32.083599999999997</v>
        <stp/>
        <stp>BDP|3666483192068929664|22</stp>
        <stp>ORLY UW Equity</stp>
        <stp>CHG_PCT_YTD_RT</stp>
        <tr r="J361" s="2"/>
      </tp>
      <tp>
        <v>21.7</v>
        <stp/>
        <stp>BDP|3922671221638718695|22</stp>
        <stp>DOC UN Equity</stp>
        <stp>LAST_PRICE</stp>
        <tr r="C146" s="2"/>
        <tr r="B146" s="2"/>
        <tr r="D146" s="2"/>
        <tr r="E146" s="2"/>
      </tp>
      <tp>
        <v>105.89</v>
        <stp/>
        <stp>BDP|3234558882614180448|22</stp>
        <stp>CHD UN Equity</stp>
        <stp>LAST_PRICE</stp>
        <tr r="B94" s="2"/>
        <tr r="C94" s="2"/>
        <tr r="D94" s="2"/>
        <tr r="E94" s="2"/>
      </tp>
      <tp>
        <v>193.25</v>
        <stp/>
        <stp>BDP|5184694481116940229|22</stp>
        <stp>HII UN Equity</stp>
        <stp>LAST_PRICE</stp>
        <tr r="E229" s="2"/>
        <tr r="B229" s="2"/>
        <tr r="C229" s="2"/>
        <tr r="D229" s="2"/>
      </tp>
      <tp>
        <v>1046.3800000000001</v>
        <stp/>
        <stp>BDP|1723251524278985382|22</stp>
        <stp>BLK UN Equity</stp>
        <stp>LAST_PRICE</stp>
        <tr r="C69" s="2"/>
        <tr r="D69" s="2"/>
        <tr r="E69" s="2"/>
        <tr r="B69" s="2"/>
      </tp>
      <tp>
        <v>1.0039999485015869</v>
        <stp/>
        <stp>BDP|2587959443560053105|22</stp>
        <stp>IBOV Index</stp>
        <stp>RT_PX_CHG_PCT_1D</stp>
        <tr r="F511" s="2"/>
      </tp>
      <tp>
        <v>239.63</v>
        <stp/>
        <stp>BDP|1375606971408283598|22</stp>
        <stp>PKG UN Equity</stp>
        <stp>LAST_PRICE</stp>
        <tr r="E378" s="2"/>
        <tr r="B378" s="2"/>
        <tr r="C378" s="2"/>
        <tr r="D378" s="2"/>
      </tp>
      <tp>
        <v>-4.3235999999999999</v>
        <stp/>
        <stp>BDP|17935611954514792005|22</stp>
        <stp>BWA UN Equity</stp>
        <stp>CHG_PCT_YTD_RT</stp>
        <tr r="J75" s="2"/>
      </tp>
      <tp>
        <v>7.0609000000000002</v>
        <stp/>
        <stp>BDP|628421378673118816|22</stp>
        <stp>CTVA UN Equity</stp>
        <stp>CHG_PCT_3M_RT</stp>
        <tr r="I127" s="2"/>
      </tp>
      <tp>
        <v>-37.476199999999999</v>
        <stp/>
        <stp>BDP|17638095626930786707|22</stp>
        <stp>HUM UN Equity</stp>
        <stp>CHG_PCT_YTD_RT</stp>
        <tr r="J240" s="2"/>
      </tp>
      <tp>
        <v>10.314299999999999</v>
        <stp/>
        <stp>BDP|11448893687658657300|22</stp>
        <stp>ADI UW Equity</stp>
        <stp>CHG_PCT_YTD_RT</stp>
        <tr r="J13" s="2"/>
      </tp>
      <tp>
        <v>1.6812</v>
        <stp/>
        <stp>BDP|10131298464393330085|22</stp>
        <stp>NKY Index</stp>
        <stp>REALTIME_5_DAY_CHANGE_PERCENT</stp>
        <tr r="G528" s="2"/>
      </tp>
      <tp>
        <v>5.3097000000000003</v>
        <stp/>
        <stp>BDP|12964510232522251760|22</stp>
        <stp>CVX UN Equity</stp>
        <stp>CHG_PCT_YTD_RT</stp>
        <tr r="J129" s="2"/>
      </tp>
      <tp>
        <v>8.4480000000000004</v>
        <stp/>
        <stp>BDP|3852854092479990988|22</stp>
        <stp>KEYS UN Equity</stp>
        <stp>CHG_PCT_YTD_RT</stp>
        <tr r="J271" s="2"/>
      </tp>
      <tp>
        <v>279.52999999999997</v>
        <stp/>
        <stp>BDP|6997693166242283782|22</stp>
        <stp>FDX UN Equity</stp>
        <stp>LAST_PRICE</stp>
        <tr r="C189" s="2"/>
        <tr r="D189" s="2"/>
        <tr r="E189" s="2"/>
        <tr r="B189" s="2"/>
      </tp>
      <tp>
        <v>38.253700000000002</v>
        <stp/>
        <stp>BDP|5684600393667806926|22</stp>
        <stp>CTAS UW Equity</stp>
        <stp>CHG_PCT_YTD_RT</stp>
        <tr r="J123" s="2"/>
      </tp>
      <tp>
        <v>249.4</v>
        <stp/>
        <stp>BDP|2781150433665190142|22</stp>
        <stp>ECL UN Equity</stp>
        <stp>LAST_PRICE</stp>
        <tr r="B158" s="2"/>
        <tr r="C158" s="2"/>
        <tr r="D158" s="2"/>
        <tr r="E158" s="2"/>
      </tp>
      <tp>
        <v>189.89</v>
        <stp/>
        <stp>BDP|2949131904320422957|22</stp>
        <stp>AME UN Equity</stp>
        <stp>LAST_PRICE</stp>
        <tr r="D32" s="2"/>
        <tr r="E32" s="2"/>
        <tr r="B32" s="2"/>
        <tr r="C32" s="2"/>
      </tp>
      <tp>
        <v>318.5</v>
        <stp/>
        <stp>BDP|1986084548020411103|22</stp>
        <stp>HCA UN Equity</stp>
        <stp>LAST_PRICE</stp>
        <tr r="C225" s="2"/>
        <tr r="E225" s="2"/>
        <tr r="B225" s="2"/>
        <tr r="D225" s="2"/>
      </tp>
      <tp>
        <v>44401.93</v>
        <stp/>
        <stp>BDP|1697229845112236608|22</stp>
        <stp>INDU Index</stp>
        <stp>LAST_PRICE</stp>
        <tr r="E3" s="2"/>
        <tr r="C3" s="2"/>
        <tr r="D3" s="2"/>
        <tr r="B3" s="2"/>
      </tp>
      <tp>
        <v>8.7493999999999996</v>
        <stp/>
        <stp>BDP|15624320840688968717|22</stp>
        <stp>INDU Index</stp>
        <stp>CHG_PCT_3M_RT</stp>
        <tr r="I3" s="2"/>
      </tp>
      <tp>
        <v>0.13510000705718994</v>
        <stp/>
        <stp>BDP|13426133851821981378|22</stp>
        <stp>OMX Index</stp>
        <stp>RT_PX_CHG_PCT_1D</stp>
        <tr r="F524" s="2"/>
      </tp>
      <tp>
        <v>-5.6924999999999999</v>
        <stp/>
        <stp>BDP|95416410336835037|22</stp>
        <stp>MOS UN Equity</stp>
        <stp>REALTIME_5_DAY_CHANGE_PERCENT</stp>
        <tr r="G322" s="2"/>
      </tp>
      <tp>
        <v>80.64</v>
        <stp/>
        <stp>BDP|821166516199690101|22</stp>
        <stp>CTSH UW Equity</stp>
        <stp>LAST_PRICE</stp>
        <tr r="B126" s="2"/>
        <tr r="C126" s="2"/>
        <tr r="D126" s="2"/>
        <tr r="E126" s="2"/>
      </tp>
      <tp>
        <v>-4.7305000000000001</v>
        <stp/>
        <stp>BDP|31062646903530255|22</stp>
        <stp>MCK UN Equity</stp>
        <stp>REALTIME_5_DAY_CHANGE_PERCENT</stp>
        <tr r="G306" s="2"/>
      </tp>
      <tp>
        <v>21.2424</v>
        <stp/>
        <stp>BDP|11411661233711737730|22</stp>
        <stp>AVB UN Equity</stp>
        <stp>CHG_PCT_YTD_RT</stp>
        <tr r="J48" s="2"/>
      </tp>
      <tp>
        <v>17.382300000000001</v>
        <stp/>
        <stp>BDP|13388384277072844420|22</stp>
        <stp>LUV UN Equity</stp>
        <stp>CHG_PCT_YTD_RT</stp>
        <tr r="J295" s="2"/>
      </tp>
      <tp>
        <v>81.239999999999995</v>
        <stp/>
        <stp>BDP|1422181944531386085|22</stp>
        <stp>MAS UN Equity</stp>
        <stp>LAST_PRICE</stp>
        <tr r="D303" s="2"/>
        <tr r="E303" s="2"/>
        <tr r="B303" s="2"/>
        <tr r="C303" s="2"/>
      </tp>
      <tp>
        <v>218.63</v>
        <stp/>
        <stp>BDP|2250343896935932099|22</stp>
        <stp>AIZ UN Equity</stp>
        <stp>LAST_PRICE</stp>
        <tr r="E22" s="2"/>
        <tr r="B22" s="2"/>
        <tr r="D22" s="2"/>
        <tr r="C22" s="2"/>
      </tp>
      <tp>
        <v>49.3352</v>
        <stp/>
        <stp>BDP|4964610202415177976|22</stp>
        <stp>EBAY UW Equity</stp>
        <stp>CHG_PCT_YTD_RT</stp>
        <tr r="J157" s="2"/>
      </tp>
      <tp>
        <v>-1.1184000000000001</v>
        <stp/>
        <stp>BDP|9985858306341317671|22</stp>
        <stp>LRCX UW Equity</stp>
        <stp>CHG_PCT_YTD_RT</stp>
        <tr r="J293" s="2"/>
      </tp>
      <tp>
        <v>-8.5205000000000002</v>
        <stp/>
        <stp>BDP|9415488152481678764|22</stp>
        <stp>MTCH UW Equity</stp>
        <stp>CHG_PCT_YTD_RT</stp>
        <tr r="J332" s="2"/>
      </tp>
      <tp>
        <v>17.061800000000002</v>
        <stp/>
        <stp>BDP|1366766615557675672|22</stp>
        <stp>STLD UW Equity</stp>
        <stp>CHG_PCT_YTD_RT</stp>
        <tr r="J426" s="2"/>
      </tp>
      <tp>
        <v>193.45</v>
        <stp/>
        <stp>BDP|8159822809234516143|22</stp>
        <stp>TXN UW Equity</stp>
        <stp>LAST_PRICE</stp>
        <tr r="D460" s="2"/>
        <tr r="E460" s="2"/>
        <tr r="B460" s="2"/>
        <tr r="C460" s="2"/>
      </tp>
      <tp>
        <v>159.15</v>
        <stp/>
        <stp>BDP|4107186468586115067|22</stp>
        <stp>MAA UN Equity</stp>
        <stp>LAST_PRICE</stp>
        <tr r="B301" s="2"/>
        <tr r="C301" s="2"/>
        <tr r="D301" s="2"/>
        <tr r="E301" s="2"/>
      </tp>
      <tp>
        <v>-16.2484</v>
        <stp/>
        <stp>BDP|2737735819274773265|22</stp>
        <stp>AKAM UW Equity</stp>
        <stp>CHG_PCT_YTD_RT</stp>
        <tr r="J24" s="2"/>
      </tp>
      <tp>
        <v>19.749099999999999</v>
        <stp/>
        <stp>BDP|5445352754270720695|22</stp>
        <stp>HSI Index</stp>
        <stp>CHG_PCT_YTD_RT</stp>
        <tr r="J529" s="2"/>
      </tp>
      <tp>
        <v>-3.2699998468160629E-2</v>
        <stp/>
        <stp>BDP|18331638824388564976|22</stp>
        <stp>STI Index</stp>
        <stp>RT_PX_CHG_PCT_1D</stp>
        <tr r="F537" s="2"/>
      </tp>
      <tp>
        <v>39160.5</v>
        <stp/>
        <stp>BDP|15556169265719638670|22</stp>
        <stp>NKY Index</stp>
        <stp>LAST_PRICE</stp>
        <tr r="D528" s="2"/>
        <tr r="E528" s="2"/>
        <tr r="B528" s="2"/>
        <tr r="C528" s="2"/>
      </tp>
      <tp>
        <v>-0.18960000574588776</v>
        <stp/>
        <stp>BDP|16321674672795285061|22</stp>
        <stp>DAX Index</stp>
        <stp>RT_PX_CHG_PCT_1D</stp>
        <tr r="F520" s="2"/>
      </tp>
      <tp>
        <v>-0.31519999999999998</v>
        <stp/>
        <stp>BDP|693578970146652036|22</stp>
        <stp>PANW UW Equity</stp>
        <stp>REALTIME_5_DAY_CHANGE_PERCENT</stp>
        <tr r="G364" s="2"/>
      </tp>
      <tp>
        <v>38.5548</v>
        <stp/>
        <stp>BDP|16091520213830297346|22</stp>
        <stp>RTX UN Equity</stp>
        <stp>CHG_PCT_YTD_RT</stp>
        <tr r="J409" s="2"/>
      </tp>
      <tp>
        <v>233.54</v>
        <stp/>
        <stp>BDP|2027738592847296041|22</stp>
        <stp>UNP UN Equity</stp>
        <stp>LAST_PRICE</stp>
        <tr r="C469" s="2"/>
        <tr r="D469" s="2"/>
        <tr r="E469" s="2"/>
        <tr r="B469" s="2"/>
      </tp>
      <tp>
        <v>26.1</v>
        <stp/>
        <stp>BDP|4003575842525604342|22</stp>
        <stp>PFE UN Equity</stp>
        <stp>LAST_PRICE</stp>
        <tr r="C372" s="2"/>
        <tr r="D372" s="2"/>
        <tr r="E372" s="2"/>
        <tr r="B372" s="2"/>
      </tp>
      <tp>
        <v>184.72</v>
        <stp/>
        <stp>BDP|1808281518501185947|22</stp>
        <stp>COF UN Equity</stp>
        <stp>LAST_PRICE</stp>
        <tr r="D108" s="2"/>
        <tr r="E108" s="2"/>
        <tr r="B108" s="2"/>
        <tr r="C108" s="2"/>
      </tp>
      <tp>
        <v>-2.5861999999999998</v>
        <stp/>
        <stp>BDP|9383960774352636605|22</stp>
        <stp>CTRA UN Equity</stp>
        <stp>CHG_PCT_YTD_RT</stp>
        <tr r="J125" s="2"/>
      </tp>
      <tp>
        <v>7480.14</v>
        <stp/>
        <stp>BDP|18188615136527237297|22</stp>
        <stp>CAC Index</stp>
        <stp>LAST_PRICE</stp>
        <tr r="D519" s="2"/>
        <tr r="E519" s="2"/>
        <tr r="B519" s="2"/>
        <tr r="C519" s="2"/>
      </tp>
      <tp>
        <v>11.3202</v>
        <stp/>
        <stp>BDP|16220801614555906271|22</stp>
        <stp>FE UN Equity</stp>
        <stp>CHG_PCT_YTD_RT</stp>
        <tr r="J190" s="2"/>
      </tp>
      <tp>
        <v>22.707999999999998</v>
        <stp/>
        <stp>BDP|13281247449931446956|22</stp>
        <stp>CB UN Equity</stp>
        <stp>CHG_PCT_YTD_RT</stp>
        <tr r="J83" s="2"/>
      </tp>
      <tp>
        <v>0.34209999442100525</v>
        <stp/>
        <stp>BDP|13018702053175609455|22</stp>
        <stp>AEX Index</stp>
        <stp>RT_PX_CHG_PCT_1D</stp>
        <tr r="F523" s="2"/>
      </tp>
      <tp>
        <v>38.472999999999999</v>
        <stp/>
        <stp>BDP|15794749646088234419|22</stp>
        <stp>MO UN Equity</stp>
        <stp>CHG_PCT_YTD_RT</stp>
        <tr r="J320" s="2"/>
      </tp>
      <tp>
        <v>11.629799999999999</v>
        <stp/>
        <stp>BDP|11775105181917258936|22</stp>
        <stp>XEL UW Equity</stp>
        <stp>CHG_PCT_YTD_RT</stp>
        <tr r="J501" s="2"/>
      </tp>
      <tp>
        <v>-1.9195</v>
        <stp/>
        <stp>BDP|11294137711028796752|22</stp>
        <stp>STE UN Equity</stp>
        <stp>CHG_PCT_YTD_RT</stp>
        <tr r="J425" s="2"/>
      </tp>
      <tp>
        <v>21.6997</v>
        <stp/>
        <stp>BDP|14372278564979999720|22</stp>
        <stp>ATO UN Equity</stp>
        <stp>CHG_PCT_YTD_RT</stp>
        <tr r="J47" s="2"/>
      </tp>
      <tp>
        <v>27.262</v>
        <stp/>
        <stp>BDP|16192871366698833236|22</stp>
        <stp>HAS UW Equity</stp>
        <stp>CHG_PCT_YTD_RT</stp>
        <tr r="J223" s="2"/>
      </tp>
      <tp>
        <v>23.6479</v>
        <stp/>
        <stp>BDP|10359032699653658059|22</stp>
        <stp>CPT UN Equity</stp>
        <stp>CHG_PCT_YTD_RT</stp>
        <tr r="J116" s="2"/>
      </tp>
      <tp>
        <v>-17.535</v>
        <stp/>
        <stp>BDP|11094817976112544405|22</stp>
        <stp>LKQ UW Equity</stp>
        <stp>CHG_PCT_YTD_RT</stp>
        <tr r="J288" s="2"/>
      </tp>
      <tp>
        <v>-4.6124000000000001</v>
        <stp/>
        <stp>BDP|7809769181355733440|22</stp>
        <stp>POOL UW Equity</stp>
        <stp>CHG_PCT_YTD_RT</stp>
        <tr r="J386" s="2"/>
      </tp>
      <tp>
        <v>-39.536999999999999</v>
        <stp/>
        <stp>BDP|1033088216407075148|22</stp>
        <stp>BIIB UW Equity</stp>
        <stp>CHG_PCT_YTD_RT</stp>
        <tr r="J64" s="2"/>
      </tp>
      <tp>
        <v>149.6</v>
        <stp/>
        <stp>BDP|9095829040710824144|22</stp>
        <stp>JNJ UN Equity</stp>
        <stp>LAST_PRICE</stp>
        <tr r="B265" s="2"/>
        <tr r="C265" s="2"/>
        <tr r="D265" s="2"/>
        <tr r="E265" s="2"/>
      </tp>
      <tp>
        <v>55.350700000000003</v>
        <stp/>
        <stp>BDP|2014049969923489893|22</stp>
        <stp>SMCI UW Equity</stp>
        <stp>CHG_PCT_YTD_RT</stp>
        <tr r="J417" s="2"/>
      </tp>
      <tp>
        <v>34559.83</v>
        <stp/>
        <stp>BDP|8229295246865322891|22</stp>
        <stp>FTSEMIB Index</stp>
        <stp>LAST_PRICE</stp>
        <tr r="E522" s="2"/>
        <tr r="B522" s="2"/>
        <tr r="C522" s="2"/>
        <tr r="D522" s="2"/>
      </tp>
      <tp>
        <v>-2.8199000000000001</v>
        <stp/>
        <stp>BDP|17616917107187722842|22</stp>
        <stp>BRK/B UN Equity</stp>
        <stp>REALTIME_5_DAY_CHANGE_PERCENT</stp>
        <tr r="G72" s="2"/>
      </tp>
      <tp>
        <v>37.890799999999999</v>
        <stp/>
        <stp>BDP|11225309620490496747|22</stp>
        <stp>NI UN Equity</stp>
        <stp>CHG_PCT_YTD_RT</stp>
        <tr r="J341" s="2"/>
      </tp>
      <tp>
        <v>3.8125</v>
        <stp/>
        <stp>BDP|18228186246689257128|22</stp>
        <stp>GD UN Equity</stp>
        <stp>CHG_PCT_YTD_RT</stp>
        <tr r="J203" s="2"/>
      </tp>
      <tp>
        <v>20345.96</v>
        <stp/>
        <stp>BDP|11561059431332965927|22</stp>
        <stp>DAX Index</stp>
        <stp>LAST_PRICE</stp>
        <tr r="C520" s="2"/>
        <tr r="D520" s="2"/>
        <tr r="E520" s="2"/>
        <tr r="B520" s="2"/>
      </tp>
      <tp>
        <v>8.5922000000000001</v>
        <stp/>
        <stp>BDP|14267276120171267626|22</stp>
        <stp>DD UN Equity</stp>
        <stp>CHG_PCT_YTD_RT</stp>
        <tr r="J134" s="2"/>
      </tp>
      <tp>
        <v>8.6555999999999997</v>
        <stp/>
        <stp>BDP|14638833819542226770|22</stp>
        <stp>NSC UN Equity</stp>
        <stp>CHG_PCT_YTD_RT</stp>
        <tr r="J346" s="2"/>
      </tp>
      <tp>
        <v>4.9149000000000003</v>
        <stp/>
        <stp>BDP|13631882006120772681|22</stp>
        <stp>COO UW Equity</stp>
        <stp>CHG_PCT_YTD_RT</stp>
        <tr r="J109" s="2"/>
      </tp>
      <tp>
        <v>28.761099999999999</v>
        <stp/>
        <stp>BDP|10643891921901132317|22</stp>
        <stp>RSG UN Equity</stp>
        <stp>CHG_PCT_YTD_RT</stp>
        <tr r="J408" s="2"/>
      </tp>
      <tp>
        <v>49.203000000000003</v>
        <stp/>
        <stp>BDP|10028368436788913437|22</stp>
        <stp>PWR UN Equity</stp>
        <stp>CHG_PCT_YTD_RT</stp>
        <tr r="J393" s="2"/>
      </tp>
      <tp>
        <v>27.724599999999999</v>
        <stp/>
        <stp>BDP|16654370120170344142|22</stp>
        <stp>ADP UW Equity</stp>
        <stp>CHG_PCT_YTD_RT</stp>
        <tr r="J15" s="2"/>
      </tp>
      <tp>
        <v>250</v>
        <stp/>
        <stp>BDP|4450410141884993796|22</stp>
        <stp>HLT UN Equity</stp>
        <stp>LAST_PRICE</stp>
        <tr r="B230" s="2"/>
        <tr r="D230" s="2"/>
        <tr r="E230" s="2"/>
        <tr r="C230" s="2"/>
      </tp>
      <tp>
        <v>36.659999999999997</v>
        <stp/>
        <stp>BDP|2616445256288027314|22</stp>
        <stp>CZR UW Equity</stp>
        <stp>LAST_PRICE</stp>
        <tr r="C130" s="2"/>
        <tr r="B130" s="2"/>
        <tr r="D130" s="2"/>
        <tr r="E130" s="2"/>
      </tp>
      <tp>
        <v>553.83000000000004</v>
        <stp/>
        <stp>BDP|3614948622596267842|22</stp>
        <stp>AMP UN Equity</stp>
        <stp>LAST_PRICE</stp>
        <tr r="B34" s="2"/>
        <tr r="C34" s="2"/>
        <tr r="D34" s="2"/>
        <tr r="E34" s="2"/>
      </tp>
      <tp>
        <v>14.8431</v>
        <stp/>
        <stp>BDP|2273860542154309343|22</stp>
        <stp>INCY UW Equity</stp>
        <stp>CHG_PCT_YTD_RT</stp>
        <tr r="J247" s="2"/>
      </tp>
      <tp>
        <v>93.83</v>
        <stp/>
        <stp>BDP|3748969307005762982|22</stp>
        <stp>WMT UN Equity</stp>
        <stp>LAST_PRICE</stp>
        <tr r="C495" s="2"/>
        <tr r="D495" s="2"/>
        <tr r="E495" s="2"/>
        <tr r="B495" s="2"/>
      </tp>
      <tp>
        <v>0.98470002412796021</v>
        <stp/>
        <stp>BDP|5388924099001943977|22</stp>
        <stp>IPSA Index</stp>
        <stp>RT_PX_CHG_PCT_1D</stp>
        <tr r="F512" s="2"/>
      </tp>
      <tp>
        <v>79.97</v>
        <stp/>
        <stp>BDP|2212779035775314331|22</stp>
        <stp>MKC UN Equity</stp>
        <stp>LAST_PRICE</stp>
        <tr r="E314" s="2"/>
        <tr r="B314" s="2"/>
        <tr r="C314" s="2"/>
        <tr r="D314" s="2"/>
      </tp>
      <tp>
        <v>-2.3816999999999999</v>
        <stp/>
        <stp>BDP|14672176300253290403|22</stp>
        <stp>ES UN Equity</stp>
        <stp>CHG_PCT_YTD_RT</stp>
        <tr r="J174" s="2"/>
      </tp>
      <tp>
        <v>-15.304600000000001</v>
        <stp/>
        <stp>BDP|16420059553668550135|22</stp>
        <stp>BG UN Equity</stp>
        <stp>CHG_PCT_YTD_RT</stp>
        <tr r="J63" s="2"/>
      </tp>
      <tp>
        <v>48.633099999999999</v>
        <stp/>
        <stp>BDP|13650454155048000243|22</stp>
        <stp>APH UN Equity</stp>
        <stp>CHG_PCT_YTD_RT</stp>
        <tr r="J44" s="2"/>
      </tp>
      <tp>
        <v>48.614800000000002</v>
        <stp/>
        <stp>BDP|18309290533687378467|22</stp>
        <stp>BRO UN Equity</stp>
        <stp>CHG_PCT_YTD_RT</stp>
        <tr r="J73" s="2"/>
      </tp>
      <tp>
        <v>2.0686</v>
        <stp/>
        <stp>BDP|10554042808446721493|22</stp>
        <stp>DAX Index</stp>
        <stp>REALTIME_5_DAY_CHANGE_PERCENT</stp>
        <tr r="G520" s="2"/>
      </tp>
      <tp>
        <v>58.71</v>
        <stp/>
        <stp>BDP|5944011370675296235|22</stp>
        <stp>BMY UN Equity</stp>
        <stp>LAST_PRICE</stp>
        <tr r="B70" s="2"/>
        <tr r="C70" s="2"/>
        <tr r="D70" s="2"/>
        <tr r="E70" s="2"/>
      </tp>
      <tp>
        <v>13.724</v>
        <stp/>
        <stp>BDP|9560345999197215554|22</stp>
        <stp>CDNS UW Equity</stp>
        <stp>CHG_PCT_YTD_RT</stp>
        <tr r="J88" s="2"/>
      </tp>
      <tp>
        <v>274.14999999999998</v>
        <stp/>
        <stp>BDP|7483193722781258215|22</stp>
        <stp>LOW UN Equity</stp>
        <stp>LAST_PRICE</stp>
        <tr r="C292" s="2"/>
        <tr r="D292" s="2"/>
        <tr r="E292" s="2"/>
        <tr r="B292" s="2"/>
      </tp>
      <tp>
        <v>240.51</v>
        <stp/>
        <stp>BDP|5953760122076349132|22</stp>
        <stp>COR UN Equity</stp>
        <stp>LAST_PRICE</stp>
        <tr r="B111" s="2"/>
        <tr r="E111" s="2"/>
        <tr r="C111" s="2"/>
        <tr r="D111" s="2"/>
      </tp>
      <tp>
        <v>-10.001099999999999</v>
        <stp/>
        <stp>BDP|1716578544774222704|22</stp>
        <stp>CSGP UW Equity</stp>
        <stp>CHG_PCT_YTD_RT</stp>
        <tr r="J121" s="2"/>
      </tp>
      <tp>
        <v>60.304600000000001</v>
        <stp/>
        <stp>BDP|6091945530725418460|22</stp>
        <stp>AVGO UW Equity</stp>
        <stp>CHG_PCT_YTD_RT</stp>
        <tr r="J49" s="2"/>
      </tp>
      <tp>
        <v>115.42</v>
        <stp/>
        <stp>BDP|7286783743554034481|22</stp>
        <stp>PLD UN Equity</stp>
        <stp>LAST_PRICE</stp>
        <tr r="D379" s="2"/>
        <tr r="E379" s="2"/>
        <tr r="B379" s="2"/>
        <tr r="C379" s="2"/>
      </tp>
      <tp>
        <v>25.39</v>
        <stp/>
        <stp>BDP|3112096289776177654|22</stp>
        <stp>CCL UN Equity</stp>
        <stp>LAST_PRICE</stp>
        <tr r="B87" s="2"/>
        <tr r="E87" s="2"/>
        <tr r="C87" s="2"/>
        <tr r="D87" s="2"/>
      </tp>
      <tp>
        <v>58.18</v>
        <stp/>
        <stp>BDP|7761977148839434679|22</stp>
        <stp>FMC UN Equity</stp>
        <stp>LAST_PRICE</stp>
        <tr r="D196" s="2"/>
        <tr r="E196" s="2"/>
        <tr r="B196" s="2"/>
        <tr r="C196" s="2"/>
      </tp>
      <tp>
        <v>51.98</v>
        <stp/>
        <stp>BDP|4003873475223084459|22</stp>
        <stp>ADM UN Equity</stp>
        <stp>LAST_PRICE</stp>
        <tr r="B14" s="2"/>
        <tr r="D14" s="2"/>
        <tr r="E14" s="2"/>
        <tr r="C14" s="2"/>
      </tp>
      <tp>
        <v>132.94999999999999</v>
        <stp/>
        <stp>BDP|3785539728605452463|22</stp>
        <stp>KMB UN Equity</stp>
        <stp>LAST_PRICE</stp>
        <tr r="C276" s="2"/>
        <tr r="D276" s="2"/>
        <tr r="E276" s="2"/>
        <tr r="B276" s="2"/>
      </tp>
      <tp>
        <v>12.226000000000001</v>
        <stp/>
        <stp>BDP|4353758280236052762|22</stp>
        <stp>KLAC UW Equity</stp>
        <stp>CHG_PCT_YTD_RT</stp>
        <tr r="J275" s="2"/>
      </tp>
      <tp>
        <v>31.949000000000002</v>
        <stp/>
        <stp>BDP|8842732058387813293|22</stp>
        <stp>TSCO UW Equity</stp>
        <stp>CHG_PCT_YTD_RT</stp>
        <tr r="J455" s="2"/>
      </tp>
      <tp>
        <v>19736.689999999999</v>
        <stp/>
        <stp>BDP|3223418431923083054|22</stp>
        <stp>CCMP Index</stp>
        <stp>LAST_PRICE</stp>
        <tr r="B508" s="2"/>
        <tr r="C508" s="2"/>
        <tr r="D508" s="2"/>
        <tr r="E508" s="2"/>
      </tp>
      <tp>
        <v>88.72</v>
        <stp/>
        <stp>BDP|91156587481991716|22</stp>
        <stp>BSX UN Equity</stp>
        <stp>LAST_PRICE</stp>
        <tr r="C74" s="2"/>
        <tr r="B74" s="2"/>
        <tr r="D74" s="2"/>
        <tr r="E74" s="2"/>
      </tp>
      <tp>
        <v>4.1264000000000003</v>
        <stp/>
        <stp>BDP|14794777301148406228|22</stp>
        <stp>EG UN Equity</stp>
        <stp>CHG_PCT_YTD_RT</stp>
        <tr r="J161" s="2"/>
      </tp>
      <tp>
        <v>-16.927099999999999</v>
        <stp/>
        <stp>BDP|12678482360318435458|22</stp>
        <stp>NUE UN Equity</stp>
        <stp>CHG_PCT_YTD_RT</stp>
        <tr r="J349" s="2"/>
      </tp>
      <tp>
        <v>105.19289999999999</v>
        <stp/>
        <stp>BDP|14624733508361149761|22</stp>
        <stp>CEG UW Equity</stp>
        <stp>CHG_PCT_YTD_RT</stp>
        <tr r="J91" s="2"/>
      </tp>
      <tp>
        <v>3.4647999999999999</v>
        <stp/>
        <stp>BDP|14412219395867575897|22</stp>
        <stp>UKX Index</stp>
        <stp>CHG_PCT_1M_RT</stp>
        <tr r="H518" s="2"/>
      </tp>
      <tp>
        <v>61.57</v>
        <stp/>
        <stp>BDP|1991029654799855529|22</stp>
        <stp>TAP UN Equity</stp>
        <stp>LAST_PRICE</stp>
        <tr r="D437" s="2"/>
        <tr r="E437" s="2"/>
        <tr r="C437" s="2"/>
        <tr r="B437" s="2"/>
      </tp>
      <tp>
        <v>27.74</v>
        <stp/>
        <stp>BDP|3531742418494160974|22</stp>
        <stp>CAG UN Equity</stp>
        <stp>LAST_PRICE</stp>
        <tr r="B79" s="2"/>
        <tr r="E79" s="2"/>
        <tr r="C79" s="2"/>
        <tr r="D79" s="2"/>
      </tp>
      <tp>
        <v>41.73</v>
        <stp/>
        <stp>BDP|1845051388123416679|22</stp>
        <stp>NEM UN Equity</stp>
        <stp>LAST_PRICE</stp>
        <tr r="D339" s="2"/>
        <tr r="E339" s="2"/>
        <tr r="B339" s="2"/>
        <tr r="C339" s="2"/>
      </tp>
      <tp>
        <v>0.83</v>
        <stp/>
        <stp>BDP|8026143075151966169|22</stp>
        <stp>ABNB UW Equity</stp>
        <stp>CHG_PCT_YTD_RT</stp>
        <tr r="J8" s="2"/>
      </tp>
      <tp>
        <v>-1.6856</v>
        <stp/>
        <stp>BDP|7246807543712611282|22</stp>
        <stp>NIFTY Index</stp>
        <stp>CHG_PCT_3M_RT</stp>
        <tr r="I533" s="2"/>
      </tp>
      <tp>
        <v>26.898700000000002</v>
        <stp/>
        <stp>BDP|4771060128448550353|22</stp>
        <stp>SPX Index</stp>
        <stp>CHG_PCT_YTD_RT</stp>
        <tr r="J4" s="2"/>
      </tp>
      <tp>
        <v>-0.71940000000000004</v>
        <stp/>
        <stp>BDP|490310455420084975|22</stp>
        <stp>WY UN Equity</stp>
        <stp>REALTIME_5_DAY_CHANGE_PERCENT</stp>
        <tr r="G499" s="2"/>
      </tp>
      <tp>
        <v>-0.74900001287460327</v>
        <stp/>
        <stp>BDP|18030286456699254|22</stp>
        <stp>VRSK UW Equity</stp>
        <stp>RT_PX_CHG_PCT_1D</stp>
        <tr r="F478" s="2"/>
      </tp>
      <tp>
        <v>8.3003999999999998</v>
        <stp/>
        <stp>BDP|266712291265948692|22</stp>
        <stp>NKY Index</stp>
        <stp>CHG_PCT_3M_RT</stp>
        <tr r="I528" s="2"/>
      </tp>
      <tp>
        <v>15.415800000000001</v>
        <stp/>
        <stp>BDP|999591222981117460|22</stp>
        <stp>COLCAP Index</stp>
        <stp>CHG_PCT_YTD_RT</stp>
        <tr r="J513" s="2"/>
      </tp>
      <tp>
        <v>62.47</v>
        <stp/>
        <stp>BDP|429339065380748102|22</stp>
        <stp>EVRG UW Equity</stp>
        <stp>LAST_PRICE</stp>
        <tr r="B178" s="2"/>
        <tr r="C178" s="2"/>
        <tr r="D178" s="2"/>
        <tr r="E178" s="2"/>
      </tp>
      <tp>
        <v>-66.104900000000001</v>
        <stp/>
        <stp>BDP|10574051336315970394|22</stp>
        <stp>WBA UW Equity</stp>
        <stp>CHG_PCT_YTD_RT</stp>
        <tr r="J487" s="2"/>
      </tp>
      <tp>
        <v>0.93</v>
        <stp/>
        <stp>BDP|17608653934499595363|22</stp>
        <stp>AVY UN Equity</stp>
        <stp>CHG_PCT_YTD_RT</stp>
        <tr r="J50" s="2"/>
      </tp>
      <tp>
        <v>-0.29430000000000001</v>
        <stp/>
        <stp>BDP|13534194952754814205|22</stp>
        <stp>AS51 Index</stp>
        <stp>REALTIME_5_DAY_CHANGE_PERCENT</stp>
        <tr r="G531" s="2"/>
      </tp>
      <tp>
        <v>142.44999999999999</v>
        <stp/>
        <stp>BDP|9444909986861594256|22</stp>
        <stp>HES UN Equity</stp>
        <stp>LAST_PRICE</stp>
        <tr r="C227" s="2"/>
        <tr r="D227" s="2"/>
        <tr r="E227" s="2"/>
        <tr r="B227" s="2"/>
      </tp>
      <tp>
        <v>67.650000000000006</v>
        <stp/>
        <stp>BDP|2689804787318295909|22</stp>
        <stp>CMS UN Equity</stp>
        <stp>LAST_PRICE</stp>
        <tr r="D105" s="2"/>
        <tr r="C105" s="2"/>
        <tr r="E105" s="2"/>
        <tr r="B105" s="2"/>
      </tp>
      <tp>
        <v>82.28</v>
        <stp/>
        <stp>BDP|9537748889859335420|22</stp>
        <stp>MET UN Equity</stp>
        <stp>LAST_PRICE</stp>
        <tr r="E310" s="2"/>
        <tr r="B310" s="2"/>
        <tr r="C310" s="2"/>
        <tr r="D310" s="2"/>
      </tp>
      <tp>
        <v>6.9702000000000002</v>
        <stp/>
        <stp>BDP|6724163298379143674|22</stp>
        <stp>JKHY UW Equity</stp>
        <stp>CHG_PCT_YTD_RT</stp>
        <tr r="J264" s="2"/>
      </tp>
      <tp>
        <v>58.49</v>
        <stp/>
        <stp>BDP|6811183570145248518|22</stp>
        <stp>CNC UN Equity</stp>
        <stp>LAST_PRICE</stp>
        <tr r="C106" s="2"/>
        <tr r="B106" s="2"/>
        <tr r="D106" s="2"/>
        <tr r="E106" s="2"/>
      </tp>
      <tp>
        <v>48.68</v>
        <stp/>
        <stp>BDP|3170214134253896028|22</stp>
        <stp>ROL UN Equity</stp>
        <stp>LAST_PRICE</stp>
        <tr r="B405" s="2"/>
        <tr r="C405" s="2"/>
        <tr r="D405" s="2"/>
        <tr r="E405" s="2"/>
      </tp>
      <tp>
        <v>218.17</v>
        <stp/>
        <stp>BDP|3338332364246455347|22</stp>
        <stp>MMC UN Equity</stp>
        <stp>LAST_PRICE</stp>
        <tr r="B317" s="2"/>
        <tr r="C317" s="2"/>
        <tr r="D317" s="2"/>
        <tr r="E317" s="2"/>
      </tp>
      <tp>
        <v>89.13</v>
        <stp/>
        <stp>BDP|1043937833470759389|22</stp>
        <stp>IFF UN Equity</stp>
        <stp>LAST_PRICE</stp>
        <tr r="B246" s="2"/>
        <tr r="D246" s="2"/>
        <tr r="E246" s="2"/>
        <tr r="C246" s="2"/>
      </tp>
      <tp>
        <v>244.76</v>
        <stp/>
        <stp>BDP|3396712689219230655|22</stp>
        <stp>RMD UN Equity</stp>
        <stp>LAST_PRICE</stp>
        <tr r="D403" s="2"/>
        <tr r="E403" s="2"/>
        <tr r="B403" s="2"/>
        <tr r="C403" s="2"/>
      </tp>
      <tp>
        <v>-8.1578999999999997</v>
        <stp/>
        <stp>BDP|4442324584540730809|22</stp>
        <stp>ADBE UW Equity</stp>
        <stp>CHG_PCT_YTD_RT</stp>
        <tr r="J12" s="2"/>
      </tp>
      <tp>
        <v>6.5529000000000002</v>
        <stp/>
        <stp>BDP|14793754811229457185|22</stp>
        <stp>IBEX Index</stp>
        <stp>CHG_PCT_3M_RT</stp>
        <tr r="I521" s="2"/>
      </tp>
      <tp>
        <v>32.583399999999997</v>
        <stp/>
        <stp>BDP|11367823725683857611|22</stp>
        <stp>IR UN Equity</stp>
        <stp>CHG_PCT_YTD_RT</stp>
        <tr r="J254" s="2"/>
      </tp>
      <tp>
        <v>54.301499999999997</v>
        <stp/>
        <stp>BDP|16551353686289980603|22</stp>
        <stp>IP UN Equity</stp>
        <stp>CHG_PCT_YTD_RT</stp>
        <tr r="J251" s="2"/>
      </tp>
      <tp>
        <v>1.157</v>
        <stp/>
        <stp>BDP|141678031367369280|22</stp>
        <stp>POOL UW Equity</stp>
        <stp>REALTIME_5_DAY_CHANGE_PERCENT</stp>
        <tr r="G386" s="2"/>
      </tp>
      <tp>
        <v>-1.4046000000000001</v>
        <stp/>
        <stp>BDP|332301053303896925|22</stp>
        <stp>QCOM UW Equity</stp>
        <stp>REALTIME_5_DAY_CHANGE_PERCENT</stp>
        <tr r="G395" s="2"/>
      </tp>
      <tp>
        <v>10.023</v>
        <stp/>
        <stp>BDP|11114027330048692676|22</stp>
        <stp>PSA UN Equity</stp>
        <stp>CHG_PCT_YTD_RT</stp>
        <tr r="J390" s="2"/>
      </tp>
      <tp>
        <v>28.363</v>
        <stp/>
        <stp>BDP|17687938029063371429|22</stp>
        <stp>STT UN Equity</stp>
        <stp>CHG_PCT_YTD_RT</stp>
        <tr r="J427" s="2"/>
      </tp>
      <tp>
        <v>-2.2982999999999998</v>
        <stp/>
        <stp>BDP|12804461353987478832|22</stp>
        <stp>PSX UN Equity</stp>
        <stp>CHG_PCT_YTD_RT</stp>
        <tr r="J391" s="2"/>
      </tp>
      <tp>
        <v>1.0589</v>
        <stp/>
        <stp>BDP|10051244675627980914|22</stp>
        <stp>STZ UN Equity</stp>
        <stp>CHG_PCT_YTD_RT</stp>
        <tr r="J429" s="2"/>
      </tp>
      <tp>
        <v>103.16</v>
        <stp/>
        <stp>BDP|5973792057664212351|22</stp>
        <stp>COP UN Equity</stp>
        <stp>LAST_PRICE</stp>
        <tr r="B110" s="2"/>
        <tr r="C110" s="2"/>
        <tr r="D110" s="2"/>
        <tr r="E110" s="2"/>
      </tp>
      <tp>
        <v>73.89</v>
        <stp/>
        <stp>BDP|6940699126503226175|22</stp>
        <stp>AOS UN Equity</stp>
        <stp>LAST_PRICE</stp>
        <tr r="C41" s="2"/>
        <tr r="D41" s="2"/>
        <tr r="E41" s="2"/>
        <tr r="B41" s="2"/>
      </tp>
      <tp>
        <v>6.0406000000000004</v>
        <stp/>
        <stp>BDP|3712312377955750116|22</stp>
        <stp>AMAT UW Equity</stp>
        <stp>CHG_PCT_YTD_RT</stp>
        <tr r="J29" s="2"/>
      </tp>
      <tp>
        <v>22.3307</v>
        <stp/>
        <stp>BDP|1355847953768376585|22</stp>
        <stp>ERIE UW Equity</stp>
        <stp>CHG_PCT_YTD_RT</stp>
        <tr r="J173" s="2"/>
      </tp>
      <tp>
        <v>537.23</v>
        <stp/>
        <stp>BDP|7233261788306513912|22</stp>
        <stp>TMO UN Equity</stp>
        <stp>LAST_PRICE</stp>
        <tr r="B447" s="2"/>
        <tr r="E447" s="2"/>
        <tr r="C447" s="2"/>
        <tr r="D447" s="2"/>
      </tp>
      <tp>
        <v>105</v>
        <stp/>
        <stp>BDP|8967655059961729374|22</stp>
        <stp>AFL UN Equity</stp>
        <stp>LAST_PRICE</stp>
        <tr r="B20" s="2"/>
        <tr r="C20" s="2"/>
        <tr r="D20" s="2"/>
        <tr r="E20" s="2"/>
      </tp>
      <tp>
        <v>102</v>
        <stp/>
        <stp>BDP|9944553046583978719|22</stp>
        <stp>CCI UN Equity</stp>
        <stp>LAST_PRICE</stp>
        <tr r="B86" s="2"/>
        <tr r="C86" s="2"/>
        <tr r="D86" s="2"/>
        <tr r="E86" s="2"/>
      </tp>
      <tp>
        <v>131.49</v>
        <stp/>
        <stp>BDP|4949691396631602823|22</stp>
        <stp>MMM UN Equity</stp>
        <stp>LAST_PRICE</stp>
        <tr r="E318" s="2"/>
        <tr r="B318" s="2"/>
        <tr r="C318" s="2"/>
        <tr r="D318" s="2"/>
      </tp>
      <tp>
        <v>-2.7039</v>
        <stp/>
        <stp>BDP|5525432225641355846|22</stp>
        <stp>SPBLPGPT Index</stp>
        <stp>CHG_PCT_1M_RT</stp>
        <tr r="H515" s="2"/>
      </tp>
      <tp>
        <v>10.9686</v>
        <stp/>
        <stp>BDP|13270031051456773502|22</stp>
        <stp>CF UN Equity</stp>
        <stp>CHG_PCT_YTD_RT</stp>
        <tr r="J92" s="2"/>
      </tp>
      <tp>
        <v>15.639200000000001</v>
        <stp/>
        <stp>BDP|12435237297636117383|22</stp>
        <stp>APD UN Equity</stp>
        <stp>CHG_PCT_YTD_RT</stp>
        <tr r="J43" s="2"/>
      </tp>
      <tp>
        <v>50.809699999999999</v>
        <stp/>
        <stp>BDP|15919261109658152746|22</stp>
        <stp>MTB UN Equity</stp>
        <stp>CHG_PCT_YTD_RT</stp>
        <tr r="J331" s="2"/>
      </tp>
      <tp>
        <v>7.3338999999999999</v>
        <stp/>
        <stp>BDP|10613206939293732815|22</stp>
        <stp>HON UW Equity</stp>
        <stp>CHG_PCT_YTD_RT</stp>
        <tr r="J232" s="2"/>
      </tp>
      <tp>
        <v>0.59609999999999996</v>
        <stp/>
        <stp>BDP|12575907624977082490|22</stp>
        <stp>ROP UW Equity</stp>
        <stp>CHG_PCT_YTD_RT</stp>
        <tr r="J406" s="2"/>
      </tp>
      <tp>
        <v>0.79649999999999999</v>
        <stp/>
        <stp>BDP|17522041689956269076|22</stp>
        <stp>AEX Index</stp>
        <stp>REALTIME_5_DAY_CHANGE_PERCENT</stp>
        <tr r="G523" s="2"/>
      </tp>
      <tp>
        <v>2.8622999999999998</v>
        <stp/>
        <stp>BDP|13212544883585605345|22</stp>
        <stp>SX5E Index</stp>
        <stp>REALTIME_5_DAY_CHANGE_PERCENT</stp>
        <tr r="G517" s="2"/>
      </tp>
      <tp>
        <v>-0.30509999999999998</v>
        <stp/>
        <stp>BDP|11766445125258133427|22</stp>
        <stp>SMI Index</stp>
        <stp>CHG_PCT_1M_RT</stp>
        <tr r="H525" s="2"/>
      </tp>
      <tp>
        <v>32.369999999999997</v>
        <stp/>
        <stp>BDP|5901453457790913610|22</stp>
        <stp>NWS UW Equity</stp>
        <stp>LAST_PRICE</stp>
        <tr r="C352" s="2"/>
        <tr r="D352" s="2"/>
        <tr r="E352" s="2"/>
        <tr r="B352" s="2"/>
      </tp>
      <tp>
        <v>395.66</v>
        <stp/>
        <stp>BDP|8179771567491636884|22</stp>
        <stp>ELV UN Equity</stp>
        <stp>LAST_PRICE</stp>
        <tr r="D164" s="2"/>
        <tr r="E164" s="2"/>
        <tr r="B164" s="2"/>
        <tr r="C164" s="2"/>
      </tp>
      <tp>
        <v>2.2625000000000002</v>
        <stp/>
        <stp>BDP|10162303373027076527|22</stp>
        <stp>GOOGL UW Equity</stp>
        <stp>REALTIME_5_DAY_CHANGE_PERCENT</stp>
        <tr r="G216" s="2"/>
      </tp>
      <tp>
        <v>44.105499999999999</v>
        <stp/>
        <stp>BDP|4370384341886094569|22</stp>
        <stp>FFIV UW Equity</stp>
        <stp>CHG_PCT_YTD_RT</stp>
        <tr r="J191" s="2"/>
      </tp>
      <tp>
        <v>187.04</v>
        <stp/>
        <stp>BDP|8113041760772417641|22</stp>
        <stp>TFX UN Equity</stp>
        <stp>LAST_PRICE</stp>
        <tr r="D444" s="2"/>
        <tr r="E444" s="2"/>
        <tr r="B444" s="2"/>
        <tr r="C444" s="2"/>
      </tp>
      <tp>
        <v>574.70000000000005</v>
        <stp/>
        <stp>BDP|6363785156821637556|22</stp>
        <stp>MLM UN Equity</stp>
        <stp>LAST_PRICE</stp>
        <tr r="C316" s="2"/>
        <tr r="D316" s="2"/>
        <tr r="E316" s="2"/>
        <tr r="B316" s="2"/>
      </tp>
      <tp>
        <v>281.23</v>
        <stp/>
        <stp>BDP|7587640015278657938|22</stp>
        <stp>VMC UN Equity</stp>
        <stp>LAST_PRICE</stp>
        <tr r="C477" s="2"/>
        <tr r="D477" s="2"/>
        <tr r="E477" s="2"/>
        <tr r="B477" s="2"/>
      </tp>
      <tp>
        <v>41.17</v>
        <stp/>
        <stp>BDP|1679583258202742377|22</stp>
        <stp>SLB UN Equity</stp>
        <stp>LAST_PRICE</stp>
        <tr r="C416" s="2"/>
        <tr r="D416" s="2"/>
        <tr r="E416" s="2"/>
        <tr r="B416" s="2"/>
      </tp>
      <tp>
        <v>160.96</v>
        <stp/>
        <stp>BDP|1226314217886404144|22</stp>
        <stp>DHI UN Equity</stp>
        <stp>LAST_PRICE</stp>
        <tr r="C141" s="2"/>
        <tr r="D141" s="2"/>
        <tr r="E141" s="2"/>
        <tr r="B141" s="2"/>
      </tp>
      <tp>
        <v>17.1174</v>
        <stp/>
        <stp>BDP|9793072417745883747|22</stp>
        <stp>STI Index</stp>
        <stp>CHG_PCT_YTD_RT</stp>
        <tr r="J537" s="2"/>
      </tp>
      <tp>
        <v>3.9813000000000001</v>
        <stp/>
        <stp>BDP|10516743497630540686|22</stp>
        <stp>IBEX Index</stp>
        <stp>CHG_PCT_1M_RT</stp>
        <tr r="H521" s="2"/>
      </tp>
      <tp>
        <v>13.5213</v>
        <stp/>
        <stp>BDP|11605696459878030644|22</stp>
        <stp>BR UN Equity</stp>
        <stp>CHG_PCT_YTD_RT</stp>
        <tr r="J71" s="2"/>
      </tp>
      <tp>
        <v>48.706099999999999</v>
        <stp/>
        <stp>BDP|17300654443627514656|22</stp>
        <stp>TYL UN Equity</stp>
        <stp>CHG_PCT_YTD_RT</stp>
        <tr r="J462" s="2"/>
      </tp>
      <tp>
        <v>8.0351999999999997</v>
        <stp/>
        <stp>BDP|11306805088876011158|22</stp>
        <stp>STI Index</stp>
        <stp>CHG_PCT_3M_RT</stp>
        <tr r="I537" s="2"/>
      </tp>
      <tp>
        <v>36.101300000000002</v>
        <stp/>
        <stp>BDP|12454822976385706559|22</stp>
        <stp>HPE UN Equity</stp>
        <stp>CHG_PCT_YTD_RT</stp>
        <tr r="J233" s="2"/>
      </tp>
      <tp>
        <v>11.9245</v>
        <stp/>
        <stp>BDP|12391217652891435863|22</stp>
        <stp>EQT UN Equity</stp>
        <stp>CHG_PCT_YTD_RT</stp>
        <tr r="J172" s="2"/>
      </tp>
      <tp>
        <v>13.6</v>
        <stp/>
        <stp>BDP|2469168360169332471|22</stp>
        <stp>AES UN Equity</stp>
        <stp>LAST_PRICE</stp>
        <tr r="E19" s="2"/>
        <tr r="C19" s="2"/>
        <tr r="D19" s="2"/>
        <tr r="B19" s="2"/>
      </tp>
      <tp>
        <v>477.76</v>
        <stp/>
        <stp>BDP|9030750730877826334|22</stp>
        <stp>FDS UN Equity</stp>
        <stp>LAST_PRICE</stp>
        <tr r="D188" s="2"/>
        <tr r="E188" s="2"/>
        <tr r="B188" s="2"/>
        <tr r="C188" s="2"/>
      </tp>
      <tp>
        <v>62.26</v>
        <stp/>
        <stp>BDP|8629184007211178437|22</stp>
        <stp>DAL UN Equity</stp>
        <stp>LAST_PRICE</stp>
        <tr r="D132" s="2"/>
        <tr r="E132" s="2"/>
        <tr r="B132" s="2"/>
        <tr r="C132" s="2"/>
      </tp>
      <tp>
        <v>161.53</v>
        <stp/>
        <stp>BDP|5425578550416278419|22</stp>
        <stp>RJF UN Equity</stp>
        <stp>LAST_PRICE</stp>
        <tr r="C401" s="2"/>
        <tr r="B401" s="2"/>
        <tr r="D401" s="2"/>
        <tr r="E401" s="2"/>
      </tp>
      <tp>
        <v>230</v>
        <stp/>
        <stp>BDP|9944325100823872689|22</stp>
        <stp>IBM UN Equity</stp>
        <stp>LAST_PRICE</stp>
        <tr r="E242" s="2"/>
        <tr r="B242" s="2"/>
        <tr r="D242" s="2"/>
        <tr r="C242" s="2"/>
      </tp>
      <tp>
        <v>121.58</v>
        <stp/>
        <stp>BDP|4464721575270556878|22</stp>
        <stp>CAH UN Equity</stp>
        <stp>LAST_PRICE</stp>
        <tr r="E80" s="2"/>
        <tr r="D80" s="2"/>
        <tr r="B80" s="2"/>
        <tr r="C80" s="2"/>
      </tp>
      <tp>
        <v>112.9</v>
        <stp/>
        <stp>BDP|7969158605034872044|22</stp>
        <stp>XOM UN Equity</stp>
        <stp>LAST_PRICE</stp>
        <tr r="D502" s="2"/>
        <tr r="E502" s="2"/>
        <tr r="B502" s="2"/>
        <tr r="C502" s="2"/>
      </tp>
      <tp>
        <v>56.869799999999998</v>
        <stp/>
        <stp>BDP|7931856524851981599|22</stp>
        <stp>TSLA UW Equity</stp>
        <stp>CHG_PCT_YTD_RT</stp>
        <tr r="J456" s="2"/>
      </tp>
      <tp>
        <v>0.62419999999999998</v>
        <stp/>
        <stp>BDP|4511435141785313965|22</stp>
        <stp>ODFL UW Equity</stp>
        <stp>CHG_PCT_YTD_RT</stp>
        <tr r="J356" s="2"/>
      </tp>
      <tp>
        <v>12.6585</v>
        <stp/>
        <stp>BDP|4508196159462494500|22</stp>
        <stp>CHTR UW Equity</stp>
        <stp>CHG_PCT_3M_RT</stp>
        <tr r="I96" s="2"/>
      </tp>
      <tp>
        <v>74.98</v>
        <stp/>
        <stp>BDP|17520163171367040158|22</stp>
        <stp>HSIC UW Equity</stp>
        <stp>LAST_PRICE</stp>
        <tr r="B236" s="2"/>
        <tr r="C236" s="2"/>
        <tr r="D236" s="2"/>
        <tr r="E236" s="2"/>
      </tp>
      <tp>
        <v>2.0657999999999999</v>
        <stp/>
        <stp>BDP|2837451199559031250|22</stp>
        <stp>JCI Index</stp>
        <stp>CHG_PCT_1M_RT</stp>
        <tr r="H535" s="2"/>
      </tp>
      <tp>
        <v>15.401899999999999</v>
        <stp/>
        <stp>BDP|9344460182831756475|22</stp>
        <stp>FOXA UW Equity</stp>
        <stp>CHG_PCT_3M_RT</stp>
        <tr r="I198" s="2"/>
      </tp>
      <tp>
        <v>0.47139999999999999</v>
        <stp/>
        <stp>BDP|6273472053161373944|22</stp>
        <stp>UKX Index</stp>
        <stp>REALTIME_5_DAY_CHANGE_PERCENT</stp>
        <tr r="G518" s="2"/>
      </tp>
      <tp>
        <v>-0.1606999933719635</v>
        <stp/>
        <stp>BDP|8589706357399157986|22</stp>
        <stp>SMI Index</stp>
        <stp>RT_PX_CHG_PCT_1D</stp>
        <tr r="F525" s="2"/>
      </tp>
      <tp>
        <v>-4.7009999999999996</v>
        <stp/>
        <stp>BDP|6039283552412791911|22</stp>
        <stp>GEHC UW Equity</stp>
        <stp>CHG_PCT_1M_RT</stp>
        <tr r="H206" s="2"/>
      </tp>
    </main>
    <main first="bofaddin.rtdserver">
      <tp>
        <v>9.1574000000000009</v>
        <stp/>
        <stp>BDP|6471357636244258536|22</stp>
        <stp>TSLA UW Equity</stp>
        <stp>REALTIME_5_DAY_CHANGE_PERCENT</stp>
        <tr r="G456" s="2"/>
      </tp>
      <tp>
        <v>48.903799999999997</v>
        <stp/>
        <stp>BDP|6102724501892911895|22</stp>
        <stp>PH UN Equity</stp>
        <stp>CHG_PCT_YTD_RT</stp>
        <tr r="J376" s="2"/>
      </tp>
      <tp>
        <v>0.71710002422332764</v>
        <stp/>
        <stp>BDP|6489309026911511246|22</stp>
        <stp>CAC Index</stp>
        <stp>RT_PX_CHG_PCT_1D</stp>
        <tr r="F519" s="2"/>
      </tp>
      <tp>
        <v>-6.4409000000000001</v>
        <stp/>
        <stp>BDP|4822842638867538966|22</stp>
        <stp>CTAS UW Equity</stp>
        <stp>REALTIME_5_DAY_CHANGE_PERCENT</stp>
        <tr r="G123" s="2"/>
      </tp>
      <tp>
        <v>3.1404999999999998</v>
        <stp/>
        <stp>BDP|7705557170937985570|22</stp>
        <stp>MRNA UW Equity</stp>
        <stp>REALTIME_5_DAY_CHANGE_PERCENT</stp>
        <tr r="G326" s="2"/>
      </tp>
      <tp>
        <v>0.42909999999999998</v>
        <stp/>
        <stp>BDP|2134040449654849612|22</stp>
        <stp>EQIX UW Equity</stp>
        <stp>REALTIME_5_DAY_CHANGE_PERCENT</stp>
        <tr r="G170" s="2"/>
      </tp>
      <tp>
        <v>5.1055000000000001</v>
        <stp/>
        <stp>BDP|2039494557196950449|22</stp>
        <stp>ALLE UN Equity</stp>
        <stp>CHG_PCT_3M_RT</stp>
        <tr r="I28" s="2"/>
      </tp>
      <tp>
        <v>-0.23769999999999999</v>
        <stp/>
        <stp>BDP|1561772426100616510|22</stp>
        <stp>NWSA UW Equity</stp>
        <stp>REALTIME_5_DAY_CHANGE_PERCENT</stp>
        <tr r="G353" s="2"/>
      </tp>
      <tp>
        <v>6.9951999999999996</v>
        <stp/>
        <stp>BDP|7277163701500938307|22</stp>
        <stp>CHRW UW Equity</stp>
        <stp>CHG_PCT_3M_RT</stp>
        <tr r="I95" s="2"/>
      </tp>
      <tp>
        <v>3.6143000000000001</v>
        <stp/>
        <stp>BDP|9423846189692768930|22</stp>
        <stp>ROST UW Equity</stp>
        <stp>CHG_PCT_3M_RT</stp>
        <tr r="I407" s="2"/>
      </tp>
      <tp>
        <v>4.1405000000000003</v>
        <stp/>
        <stp>BDP|2411378340148035998|22</stp>
        <stp>VRSN UW Equity</stp>
        <stp>REALTIME_5_DAY_CHANGE_PERCENT</stp>
        <tr r="G479" s="2"/>
      </tp>
      <tp>
        <v>4.1113999999999997</v>
        <stp/>
        <stp>BDP|8170895413598048176|22</stp>
        <stp>META UW Equity</stp>
        <stp>CHG_PCT_1M_RT</stp>
        <tr r="H311" s="2"/>
      </tp>
      <tp>
        <v>-1.8220000000000001</v>
        <stp/>
        <stp>BDP|2421004208581447745|22</stp>
        <stp>QRVO UW Equity</stp>
        <stp>REALTIME_5_DAY_CHANGE_PERCENT</stp>
        <tr r="G396" s="2"/>
      </tp>
      <tp>
        <v>-3.7829000000000002</v>
        <stp/>
        <stp>BDP|7874652384939652822|22</stp>
        <stp>GEHC UW Equity</stp>
        <stp>CHG_PCT_3M_RT</stp>
        <tr r="I206" s="2"/>
      </tp>
      <tp>
        <v>-6.9090999999999996</v>
        <stp/>
        <stp>BDP|8478504920592046231|22</stp>
        <stp>SBAC UW Equity</stp>
        <stp>CHG_PCT_3M_RT</stp>
        <tr r="I411" s="2"/>
      </tp>
      <tp>
        <v>0.17739999294281006</v>
        <stp/>
        <stp>BDP|6617433001307484995|22</stp>
        <stp>NKY Index</stp>
        <stp>RT_PX_CHG_PCT_1D</stp>
        <tr r="F528" s="2"/>
      </tp>
      <tp>
        <v>13.047499999999999</v>
        <stp/>
        <stp>BDP|7669946295478662303|22</stp>
        <stp>PANW UW Equity</stp>
        <stp>CHG_PCT_3M_RT</stp>
        <tr r="I364" s="2"/>
      </tp>
      <tp>
        <v>9.4299999999999995E-2</v>
        <stp/>
        <stp>BDP|2556902572958244021|22</stp>
        <stp>SPX Index</stp>
        <stp>REALTIME_5_DAY_CHANGE_PERCENT</stp>
        <tr r="G4" s="2"/>
      </tp>
      <tp>
        <v>2.3496000000000001</v>
        <stp/>
        <stp>BDP|6323054225732738842|22</stp>
        <stp>AEX Index</stp>
        <stp>CHG_PCT_1M_RT</stp>
        <tr r="H523" s="2"/>
      </tp>
      <tp>
        <v>9.5505999999999993</v>
        <stp/>
        <stp>BDP|1964731367971761398|22</stp>
        <stp>SNPS UW Equity</stp>
        <stp>CHG_PCT_3M_RT</stp>
        <tr r="I419" s="2"/>
      </tp>
      <tp>
        <v>95.94</v>
        <stp/>
        <stp>BDP|17526465034182386879|22</stp>
        <stp>WYNN UW Equity</stp>
        <stp>LAST_PRICE</stp>
        <tr r="B500" s="2"/>
        <tr r="C500" s="2"/>
        <tr r="D500" s="2"/>
        <tr r="E500" s="2"/>
      </tp>
      <tp>
        <v>137.29</v>
        <stp/>
        <stp>BDP|15760748051557324675|22</stp>
        <stp>CBRE UN Equity</stp>
        <stp>LAST_PRICE</stp>
        <tr r="C85" s="2"/>
        <tr r="D85" s="2"/>
        <tr r="E85" s="2"/>
        <tr r="B85" s="2"/>
      </tp>
      <tp>
        <v>2.4377</v>
        <stp/>
        <stp>BDP|8533752740102925611|22</stp>
        <stp>EXPE UW Equity</stp>
        <stp>REALTIME_5_DAY_CHANGE_PERCENT</stp>
        <tr r="G182" s="2"/>
      </tp>
      <tp>
        <v>6.6025999999999998</v>
        <stp/>
        <stp>BDP|1397058641988510001|22</stp>
        <stp>PAYX UW Equity</stp>
        <stp>CHG_PCT_3M_RT</stp>
        <tr r="I367" s="2"/>
      </tp>
      <tp>
        <v>-2.2988</v>
        <stp/>
        <stp>BDP|1679486296415930197|22</stp>
        <stp>NDSN UW Equity</stp>
        <stp>CHG_PCT_1M_RT</stp>
        <tr r="H337" s="2"/>
      </tp>
      <tp>
        <v>-5.9768999999999997</v>
        <stp/>
        <stp>BDP|2186718353408207989|22</stp>
        <stp>KVUE UN Equity</stp>
        <stp>REALTIME_5_DAY_CHANGE_PERCENT</stp>
        <tr r="G281" s="2"/>
      </tp>
      <tp>
        <v>2.0935999999999999</v>
        <stp/>
        <stp>BDP|4637704469877550730|22</stp>
        <stp>TRMB UW Equity</stp>
        <stp>REALTIME_5_DAY_CHANGE_PERCENT</stp>
        <tr r="G452" s="2"/>
      </tp>
      <tp>
        <v>20.911899999999999</v>
        <stp/>
        <stp>BDP|4957759357970460936|22</stp>
        <stp>PCAR UW Equity</stp>
        <stp>CHG_PCT_3M_RT</stp>
        <tr r="I368" s="2"/>
      </tp>
      <tp>
        <v>-0.68330000000000002</v>
        <stp/>
        <stp>BDP|2954535855789960471|22</stp>
        <stp>EXPD UN Equity</stp>
        <stp>REALTIME_5_DAY_CHANGE_PERCENT</stp>
        <tr r="G181" s="2"/>
      </tp>
      <tp>
        <v>57.4</v>
        <stp/>
        <stp>BDP|16945324317422459687|22</stp>
        <stp>APTV UN Equity</stp>
        <stp>LAST_PRICE</stp>
        <tr r="C45" s="2"/>
        <tr r="D45" s="2"/>
        <tr r="E45" s="2"/>
        <tr r="B45" s="2"/>
      </tp>
      <tp>
        <v>10.962899999999999</v>
        <stp/>
        <stp>BDP|9935375089995652500|22</stp>
        <stp>AS51 Index</stp>
        <stp>CHG_PCT_YTD_RT</stp>
        <tr r="J531" s="2"/>
      </tp>
      <tp>
        <v>3.2625000000000002</v>
        <stp/>
        <stp>BDP|2318344295544274398|22</stp>
        <stp>NDSN UW Equity</stp>
        <stp>CHG_PCT_3M_RT</stp>
        <tr r="I337" s="2"/>
      </tp>
      <tp>
        <v>14.4247</v>
        <stp/>
        <stp>BDP|8562750023629306689|22</stp>
        <stp>GILD UW Equity</stp>
        <stp>CHG_PCT_3M_RT</stp>
        <tr r="I209" s="2"/>
      </tp>
      <tp>
        <v>77.45</v>
        <stp/>
        <stp>BDP|17438685881009250267|22</stp>
        <stp>LRCX UW Equity</stp>
        <stp>LAST_PRICE</stp>
        <tr r="B293" s="2"/>
        <tr r="C293" s="2"/>
        <tr r="D293" s="2"/>
        <tr r="E293" s="2"/>
      </tp>
      <tp>
        <v>-0.80769999999999997</v>
        <stp/>
        <stp>BDP|4968022826167958273|22</stp>
        <stp>CSCO UW Equity</stp>
        <stp>REALTIME_5_DAY_CHANGE_PERCENT</stp>
        <tr r="G120" s="2"/>
      </tp>
      <tp>
        <v>0.57230000000000003</v>
        <stp/>
        <stp>BDP|6561519848230885377|22</stp>
        <stp>MTCH UW Equity</stp>
        <stp>REALTIME_5_DAY_CHANGE_PERCENT</stp>
        <tr r="G332" s="2"/>
      </tp>
      <tp>
        <v>0.1298</v>
        <stp/>
        <stp>BDP|8145438472044424925|22</stp>
        <stp>NVDA UW Equity</stp>
        <stp>REALTIME_5_DAY_CHANGE_PERCENT</stp>
        <tr r="G350" s="2"/>
      </tp>
      <tp>
        <v>123.59</v>
        <stp/>
        <stp>BDP|13364952467353204160|22</stp>
        <stp>TROW UW Equity</stp>
        <stp>LAST_PRICE</stp>
        <tr r="C453" s="2"/>
        <tr r="D453" s="2"/>
        <tr r="E453" s="2"/>
        <tr r="B453" s="2"/>
      </tp>
      <tp>
        <v>204.04</v>
        <stp/>
        <stp>BDP|433182188406797953|22</stp>
        <stp>AVY UN Equity</stp>
        <stp>LAST_PRICE</stp>
        <tr r="B50" s="2"/>
        <tr r="C50" s="2"/>
        <tr r="D50" s="2"/>
        <tr r="E50" s="2"/>
      </tp>
      <tp>
        <v>18.901</v>
        <stp/>
        <stp>BDP|18388315994565269011|22</stp>
        <stp>IBEX Index</stp>
        <stp>CHG_PCT_YTD_RT</stp>
        <tr r="J521" s="2"/>
      </tp>
      <tp>
        <v>4.2348999999999997</v>
        <stp/>
        <stp>BDP|6077222606021461668|22</stp>
        <stp>OMX Index</stp>
        <stp>CHG_PCT_3M_RT</stp>
        <tr r="I524" s="2"/>
      </tp>
      <tp>
        <v>2.9514999999999998</v>
        <stp/>
        <stp>BDP|5505117105558771711|22</stp>
        <stp>T UN Equity</stp>
        <stp>REALTIME_5_DAY_CHANGE_PERCENT</stp>
        <tr r="G436" s="2"/>
      </tp>
      <tp>
        <v>1.9277</v>
        <stp/>
        <stp>BDP|9148583792849515074|22</stp>
        <stp>CAC Index</stp>
        <stp>CHG_PCT_1M_RT</stp>
        <tr r="H519" s="2"/>
      </tp>
      <tp>
        <v>24.86</v>
        <stp/>
        <stp>BDP|14836658875552143893|22</stp>
        <stp>CTRA UN Equity</stp>
        <stp>LAST_PRICE</stp>
        <tr r="C125" s="2"/>
        <tr r="D125" s="2"/>
        <tr r="E125" s="2"/>
        <tr r="B125" s="2"/>
      </tp>
      <tp>
        <v>45.65</v>
        <stp/>
        <stp>BDP|15834903067753360096|22</stp>
        <stp>MRNA UW Equity</stp>
        <stp>LAST_PRICE</stp>
        <tr r="E326" s="2"/>
        <tr r="B326" s="2"/>
        <tr r="C326" s="2"/>
        <tr r="D326" s="2"/>
      </tp>
      <tp>
        <v>3.6547000000000001</v>
        <stp/>
        <stp>BDP|1115957345361696809|22</stp>
        <stp>FOXA UW Equity</stp>
        <stp>CHG_PCT_1M_RT</stp>
        <tr r="H198" s="2"/>
      </tp>
      <tp>
        <v>283.73</v>
        <stp/>
        <stp>BDP|13965396818153581153|22</stp>
        <stp>TSCO UW Equity</stp>
        <stp>LAST_PRICE</stp>
        <tr r="B455" s="2"/>
        <tr r="E455" s="2"/>
        <tr r="C455" s="2"/>
        <tr r="D455" s="2"/>
      </tp>
      <tp>
        <v>4.9832000000000001</v>
        <stp/>
        <stp>BDP|9148223288239685983|22</stp>
        <stp>ORCL UN Equity</stp>
        <stp>REALTIME_5_DAY_CHANGE_PERCENT</stp>
        <tr r="G360" s="2"/>
      </tp>
      <tp t="s">
        <v>#N/A N/A</v>
        <stp/>
        <stp>BDP|8245484118682080998|22</stp>
        <stp>PLTR UQ Equity</stp>
        <stp>CHG_PCT_3M_RT</stp>
        <tr r="I380" s="2"/>
      </tp>
      <tp>
        <v>-4.6086999999999998</v>
        <stp/>
        <stp>BDP|7250343009978868409|22</stp>
        <stp>CBOE UF Equity</stp>
        <stp>CHG_PCT_3M_RT</stp>
        <tr r="I84" s="2"/>
      </tp>
      <tp>
        <v>44.16</v>
        <stp/>
        <stp>BDP|10552672639104553369|22</stp>
        <stp>SMCI UW Equity</stp>
        <stp>LAST_PRICE</stp>
        <tr r="B417" s="2"/>
        <tr r="C417" s="2"/>
        <tr r="D417" s="2"/>
        <tr r="E417" s="2"/>
      </tp>
      <tp>
        <v>2.3719999999999999</v>
        <stp/>
        <stp>BDP|7433150171005052587|22</stp>
        <stp>APTV UN Equity</stp>
        <stp>REALTIME_5_DAY_CHANGE_PERCENT</stp>
        <tr r="G45" s="2"/>
      </tp>
      <tp>
        <v>61.44</v>
        <stp/>
        <stp>BDP|13647924087778520511|22</stp>
        <stp>MDLZ UW Equity</stp>
        <stp>LAST_PRICE</stp>
        <tr r="C308" s="2"/>
        <tr r="D308" s="2"/>
        <tr r="E308" s="2"/>
        <tr r="B308" s="2"/>
      </tp>
      <tp>
        <v>-1.3501000000000001</v>
        <stp/>
        <stp>BDP|6078041834134711208|22</stp>
        <stp>LRCX UW Equity</stp>
        <stp>REALTIME_5_DAY_CHANGE_PERCENT</stp>
        <tr r="G293" s="2"/>
      </tp>
      <tp>
        <v>-1.8700000000000001E-2</v>
        <stp/>
        <stp>BDP|8603580607227706367|22</stp>
        <stp>QCOM UW Equity</stp>
        <stp>CHG_PCT_3M_RT</stp>
        <tr r="I395" s="2"/>
      </tp>
      <tp>
        <v>18.4299</v>
        <stp/>
        <stp>BDP|4852039893308622063|22</stp>
        <stp>GOOG UW Equity</stp>
        <stp>CHG_PCT_3M_RT</stp>
        <tr r="I215" s="2"/>
      </tp>
      <tp>
        <v>19.113299999999999</v>
        <stp/>
        <stp>BDP|5374594195015055426|22</stp>
        <stp>CBRE UN Equity</stp>
        <stp>CHG_PCT_3M_RT</stp>
        <tr r="I85" s="2"/>
      </tp>
      <tp>
        <v>286.97000000000003</v>
        <stp/>
        <stp>BDP|254942945801212544|22</stp>
        <stp>MAR UW Equity</stp>
        <stp>LAST_PRICE</stp>
        <tr r="B302" s="2"/>
        <tr r="C302" s="2"/>
        <tr r="E302" s="2"/>
        <tr r="D302" s="2"/>
      </tp>
      <tp>
        <v>-2.4169</v>
        <stp/>
        <stp>BDP|6098358313940118874|22</stp>
        <stp>BF/B UN Equity</stp>
        <stp>CHG_PCT_3M_RT</stp>
        <tr r="I62" s="2"/>
      </tp>
      <tp>
        <v>4.6684000000000001</v>
        <stp/>
        <stp>BDP|4178416504663506541|22</stp>
        <stp>COST UW Equity</stp>
        <stp>CHG_PCT_1M_RT</stp>
        <tr r="H112" s="2"/>
      </tp>
      <tp>
        <v>14.3668</v>
        <stp/>
        <stp>BDP|8573670555096177080|22</stp>
        <stp>GDDY UN Equity</stp>
        <stp>CHG_PCT_1M_RT</stp>
        <tr r="H204" s="2"/>
      </tp>
      <tp>
        <v>95.9</v>
        <stp/>
        <stp>BDP|12860417245589517360|22</stp>
        <stp>ACGL UW Equity</stp>
        <stp>LAST_PRICE</stp>
        <tr r="D10" s="2"/>
        <tr r="E10" s="2"/>
        <tr r="B10" s="2"/>
        <tr r="C10" s="2"/>
      </tp>
      <tp>
        <v>-4.298</v>
        <stp/>
        <stp>BDP|4658183909104693986|22</stp>
        <stp>BALL UN Equity</stp>
        <stp>CHG_PCT_1M_RT</stp>
        <tr r="H57" s="2"/>
      </tp>
      <tp>
        <v>77.400000000000006</v>
        <stp/>
        <stp>BDP|14668548869100941997|22</stp>
        <stp>TECH UW Equity</stp>
        <stp>LAST_PRICE</stp>
        <tr r="D440" s="2"/>
        <tr r="E440" s="2"/>
        <tr r="B440" s="2"/>
        <tr r="C440" s="2"/>
      </tp>
      <tp>
        <v>58.95</v>
        <stp/>
        <stp>BDP|15025918424163805067|22</stp>
        <stp>CSCO UW Equity</stp>
        <stp>LAST_PRICE</stp>
        <tr r="E120" s="2"/>
        <tr r="D120" s="2"/>
        <tr r="B120" s="2"/>
        <tr r="C120" s="2"/>
      </tp>
      <tp>
        <v>1.8042</v>
        <stp/>
        <stp>BDP|2361529977088340387|22</stp>
        <stp>SBUX UW Equity</stp>
        <stp>CHG_PCT_1M_RT</stp>
        <tr r="H412" s="2"/>
      </tp>
      <tp>
        <v>0.52319997549057007</v>
        <stp/>
        <stp>BDP|1189818855878137403|22</stp>
        <stp>UKX Index</stp>
        <stp>RT_PX_CHG_PCT_1D</stp>
        <tr r="F518" s="2"/>
      </tp>
      <tp>
        <v>0.5837</v>
        <stp/>
        <stp>BDP|6989462962741162520|22</stp>
        <stp>FITB UW Equity</stp>
        <stp>CHG_PCT_1M_RT</stp>
        <tr r="H195" s="2"/>
      </tp>
      <tp>
        <v>10.909700000000001</v>
        <stp/>
        <stp>BDP|2793379704032564150|22</stp>
        <stp>AKAM UW Equity</stp>
        <stp>CHG_PCT_1M_RT</stp>
        <tr r="H24" s="2"/>
      </tp>
      <tp>
        <v>-8.1151999999999997</v>
        <stp/>
        <stp>BDP|9110102133085915624|22</stp>
        <stp>FANG UW Equity</stp>
        <stp>CHG_PCT_1M_RT</stp>
        <tr r="H185" s="2"/>
      </tp>
      <tp>
        <v>75.790000000000006</v>
        <stp/>
        <stp>BDP|11727121222786612450|22</stp>
        <stp>HOLX UW Equity</stp>
        <stp>LAST_PRICE</stp>
        <tr r="C231" s="2"/>
        <tr r="D231" s="2"/>
        <tr r="E231" s="2"/>
        <tr r="B231" s="2"/>
      </tp>
      <tp>
        <v>-5.0974000000000004</v>
        <stp/>
        <stp>BDP|7254274102931594123|22</stp>
        <stp>KLAC UW Equity</stp>
        <stp>CHG_PCT_1M_RT</stp>
        <tr r="H275" s="2"/>
      </tp>
      <tp>
        <v>37.130000000000003</v>
        <stp/>
        <stp>BDP|16868889786902044976|22</stp>
        <stp>JNPR UN Equity</stp>
        <stp>LAST_PRICE</stp>
        <tr r="E266" s="2"/>
        <tr r="B266" s="2"/>
        <tr r="C266" s="2"/>
        <tr r="D266" s="2"/>
      </tp>
      <tp>
        <v>-2.2530999999999999</v>
        <stp/>
        <stp>BDP|6227490372044501037|22</stp>
        <stp>TSCO UW Equity</stp>
        <stp>REALTIME_5_DAY_CHANGE_PERCENT</stp>
        <tr r="G455" s="2"/>
      </tp>
      <tp>
        <v>0.39340000000000003</v>
        <stp/>
        <stp>BDP|5701166470239172094|22</stp>
        <stp>PCAR UW Equity</stp>
        <stp>CHG_PCT_1M_RT</stp>
        <tr r="H368" s="2"/>
      </tp>
      <tp>
        <v>175.37</v>
        <stp/>
        <stp>BDP|15784339959533146383|22</stp>
        <stp>GOOGL UW Equity</stp>
        <stp>LAST_PRICE</stp>
        <tr r="D216" s="2"/>
        <tr r="E216" s="2"/>
        <tr r="B216" s="2"/>
        <tr r="C216" s="2"/>
      </tp>
      <tp>
        <v>45.22</v>
        <stp/>
        <stp>BDP|8626012408166014427|22</stp>
        <stp>BF/B UN Equity</stp>
        <stp>LAST_PRICE</stp>
        <tr r="B62" s="2"/>
        <tr r="C62" s="2"/>
        <tr r="D62" s="2"/>
        <tr r="E62" s="2"/>
      </tp>
      <tp>
        <v>0.34479999542236328</v>
        <stp/>
        <stp>BDP|14763027421896913820|22</stp>
        <stp>TWSE Index</stp>
        <stp>RT_PX_CHG_PCT_1D</stp>
        <tr r="F534" s="2"/>
      </tp>
      <tp>
        <v>17.961500000000001</v>
        <stp/>
        <stp>BDP|6222442166164402935|22</stp>
        <stp>FAST UW Equity</stp>
        <stp>CHG_PCT_3M_RT</stp>
        <tr r="I186" s="2"/>
      </tp>
      <tp>
        <v>-25.863700000000001</v>
        <stp/>
        <stp>BDP|3753143685869034542|22</stp>
        <stp>ENPH UQ Equity</stp>
        <stp>CHG_PCT_3M_RT</stp>
        <tr r="I167" s="2"/>
      </tp>
      <tp>
        <v>5.8014999999999999</v>
        <stp/>
        <stp>BDP|7317341578932341774|22</stp>
        <stp>ANET UN Equity</stp>
        <stp>CHG_PCT_1M_RT</stp>
        <tr r="H38" s="2"/>
      </tp>
      <tp>
        <v>547.92999999999995</v>
        <stp/>
        <stp>BDP|11232068360214672097|22</stp>
        <stp>ADBE UW Equity</stp>
        <stp>LAST_PRICE</stp>
        <tr r="B12" s="2"/>
        <tr r="C12" s="2"/>
        <tr r="D12" s="2"/>
        <tr r="E12" s="2"/>
      </tp>
      <tp>
        <v>234.94</v>
        <stp/>
        <stp>BDP|13725256828582507069|22</stp>
        <stp>PAYC UN Equity</stp>
        <stp>LAST_PRICE</stp>
        <tr r="E366" s="2"/>
        <tr r="B366" s="2"/>
        <tr r="C366" s="2"/>
        <tr r="D366" s="2"/>
      </tp>
      <tp>
        <v>652.37</v>
        <stp/>
        <stp>BDP|15901379106611182313|22</stp>
        <stp>KLAC UW Equity</stp>
        <stp>LAST_PRICE</stp>
        <tr r="D275" s="2"/>
        <tr r="E275" s="2"/>
        <tr r="B275" s="2"/>
        <tr r="C275" s="2"/>
      </tp>
      <tp>
        <v>3.1665999999999999</v>
        <stp/>
        <stp>BDP|2799449201115484236|22</stp>
        <stp>A UN Equity</stp>
        <stp>REALTIME_5_DAY_CHANGE_PERCENT</stp>
        <tr r="G5" s="2"/>
      </tp>
      <tp t="s">
        <v>#N/A N/A</v>
        <stp/>
        <stp>BDP|4488449540506595697|22</stp>
        <stp>PLTR UQ Equity</stp>
        <stp>CHG_PCT_1M_RT</stp>
        <tr r="H380" s="2"/>
      </tp>
      <tp>
        <v>388.94</v>
        <stp/>
        <stp>BDP|14848875166690984376|22</stp>
        <stp>PANW UW Equity</stp>
        <stp>LAST_PRICE</stp>
        <tr r="C364" s="2"/>
        <tr r="D364" s="2"/>
        <tr r="E364" s="2"/>
        <tr r="B364" s="2"/>
      </tp>
      <tp>
        <v>5.2512999999999996</v>
        <stp/>
        <stp>BDP|9438602626033719424|22</stp>
        <stp>EBAY UW Equity</stp>
        <stp>CHG_PCT_1M_RT</stp>
        <tr r="H157" s="2"/>
      </tp>
      <tp>
        <v>309.75</v>
        <stp/>
        <stp>BDP|16272200194632894297|22</stp>
        <stp>CDNS UW Equity</stp>
        <stp>LAST_PRICE</stp>
        <tr r="E88" s="2"/>
        <tr r="D88" s="2"/>
        <tr r="B88" s="2"/>
        <tr r="C88" s="2"/>
      </tp>
      <tp>
        <v>73.2</v>
        <stp/>
        <stp>BDP|15290365708199849361|22</stp>
        <stp>CARR UN Equity</stp>
        <stp>LAST_PRICE</stp>
        <tr r="D81" s="2"/>
        <tr r="C81" s="2"/>
        <tr r="E81" s="2"/>
        <tr r="B81" s="2"/>
      </tp>
      <tp>
        <v>-2.7646000000000002</v>
        <stp/>
        <stp>BDP|1798413875514907507|22</stp>
        <stp>JKHY UW Equity</stp>
        <stp>CHG_PCT_1M_RT</stp>
        <tr r="H264" s="2"/>
      </tp>
      <tp>
        <v>-4.5747</v>
        <stp/>
        <stp>BDP|3022365242261219337|22</stp>
        <stp>JNPR UN Equity</stp>
        <stp>CHG_PCT_1M_RT</stp>
        <tr r="H266" s="2"/>
      </tp>
      <tp>
        <v>-8.3444000000000003</v>
        <stp/>
        <stp>BDP|4722708025405641368|22</stp>
        <stp>HOLX UW Equity</stp>
        <stp>CHG_PCT_3M_RT</stp>
        <tr r="I231" s="2"/>
      </tp>
      <tp>
        <v>97.04</v>
        <stp/>
        <stp>BDP|14164512462337591508|22</stp>
        <stp>FTNT UW Equity</stp>
        <stp>LAST_PRICE</stp>
        <tr r="C201" s="2"/>
        <tr r="D201" s="2"/>
        <tr r="E201" s="2"/>
        <tr r="B201" s="2"/>
      </tp>
      <tp>
        <v>-0.40310000000000001</v>
        <stp/>
        <stp>BDP|6626899119931191212|22</stp>
        <stp>CPRT UW Equity</stp>
        <stp>REALTIME_5_DAY_CHANGE_PERCENT</stp>
        <tr r="G115" s="2"/>
      </tp>
      <tp>
        <v>-8.7451000000000008</v>
        <stp/>
        <stp>BDP|7537588275109457970|22</stp>
        <stp>UBER UN Equity</stp>
        <stp>CHG_PCT_1M_RT</stp>
        <tr r="H464" s="2"/>
      </tp>
      <tp>
        <v>10.3147</v>
        <stp/>
        <stp>BDP|6480950041357281673|22</stp>
        <stp>DAX Index</stp>
        <stp>CHG_PCT_3M_RT</stp>
        <tr r="I520" s="2"/>
      </tp>
      <tp>
        <v>1.9608000000000001</v>
        <stp/>
        <stp>BDP|9043334258734590596|22</stp>
        <stp>CRWD UW Equity</stp>
        <stp>REALTIME_5_DAY_CHANGE_PERCENT</stp>
        <tr r="G119" s="2"/>
      </tp>
      <tp>
        <v>-8.1081000000000003</v>
        <stp/>
        <stp>BDP|3257031158519610594|22</stp>
        <stp>AMCR UN Equity</stp>
        <stp>CHG_PCT_3M_RT</stp>
        <tr r="I30" s="2"/>
      </tp>
      <tp>
        <v>4.8680000000000003</v>
        <stp/>
        <stp>BDP|1666220697141698298|22</stp>
        <stp>MNST UW Equity</stp>
        <stp>CHG_PCT_3M_RT</stp>
        <tr r="I319" s="2"/>
      </tp>
      <tp>
        <v>-4.5096999999999996</v>
        <stp/>
        <stp>BDP|7645268880547008452|22</stp>
        <stp>FICO UN Equity</stp>
        <stp>CHG_PCT_1M_RT</stp>
        <tr r="H193" s="2"/>
      </tp>
      <tp>
        <v>25.401800000000001</v>
        <stp/>
        <stp>BDP|7042444134836894321|22</stp>
        <stp>ZBRA UW Equity</stp>
        <stp>CHG_PCT_3M_RT</stp>
        <tr r="I506" s="2"/>
      </tp>
      <tp>
        <v>-0.91359999999999997</v>
        <stp/>
        <stp>BDP|6453199095230450647|22</stp>
        <stp>OTIS UN Equity</stp>
        <stp>REALTIME_5_DAY_CHANGE_PERCENT</stp>
        <tr r="G362" s="2"/>
      </tp>
      <tp>
        <v>-4.1700999999999997</v>
        <stp/>
        <stp>BDP|2628786131342617571|22</stp>
        <stp>JCI Index</stp>
        <stp>CHG_PCT_3M_RT</stp>
        <tr r="I535" s="2"/>
      </tp>
      <tp>
        <v>-0.62849999999999995</v>
        <stp/>
        <stp>BDP|2749296027753085756|22</stp>
        <stp>PANW UW Equity</stp>
        <stp>CHG_PCT_1M_RT</stp>
        <tr r="H364" s="2"/>
      </tp>
      <tp>
        <v>-18.848199999999999</v>
        <stp/>
        <stp>BDP|9052094964265923900|22</stp>
        <stp>MDLZ UW Equity</stp>
        <stp>CHG_PCT_3M_RT</stp>
        <tr r="I308" s="2"/>
      </tp>
      <tp>
        <v>81.069999999999993</v>
        <stp/>
        <stp>BDP|199383824073491766|22</stp>
        <stp>SYY UN Equity</stp>
        <stp>LAST_PRICE</stp>
        <tr r="B435" s="2"/>
        <tr r="C435" s="2"/>
        <tr r="E435" s="2"/>
        <tr r="D435" s="2"/>
      </tp>
      <tp t="s">
        <v>#N/A N/A</v>
        <stp/>
        <stp>BDP|13460237887969143411|22</stp>
        <stp>RTSI$ Index</stp>
        <stp>CHG_PCT_YTD_RT</stp>
        <tr r="J526" s="2"/>
      </tp>
      <tp>
        <v>277.63</v>
        <stp/>
        <stp>BDP|14103519106274294542|22</stp>
        <stp>AMGN UW Equity</stp>
        <stp>LAST_PRICE</stp>
        <tr r="C33" s="2"/>
        <tr r="D33" s="2"/>
        <tr r="E33" s="2"/>
        <tr r="B33" s="2"/>
      </tp>
      <tp>
        <v>21.549600000000002</v>
        <stp/>
        <stp>BDP|7161771857197391106|22</stp>
        <stp>META UW Equity</stp>
        <stp>CHG_PCT_3M_RT</stp>
        <tr r="I311" s="2"/>
      </tp>
      <tp>
        <v>16.593399999999999</v>
        <stp/>
        <stp>BDP|9773713261277752580|22</stp>
        <stp>DLTR UW Equity</stp>
        <stp>CHG_PCT_1M_RT</stp>
        <tr r="H145" s="2"/>
      </tp>
      <tp>
        <v>-0.57079999999999997</v>
        <stp/>
        <stp>BDP|6956222120997217873|22</stp>
        <stp>SMI Index</stp>
        <stp>REALTIME_5_DAY_CHANGE_PERCENT</stp>
        <tr r="G525" s="2"/>
      </tp>
      <tp>
        <v>33.68</v>
        <stp/>
        <stp>BDP|16452881908867820744|22</stp>
        <stp>INVH UN Equity</stp>
        <stp>LAST_PRICE</stp>
        <tr r="E250" s="2"/>
        <tr r="B250" s="2"/>
        <tr r="C250" s="2"/>
        <tr r="D250" s="2"/>
      </tp>
      <tp>
        <v>0.90329999999999999</v>
        <stp/>
        <stp>BDP|1271221903433846724|22</stp>
        <stp>PARA UW Equity</stp>
        <stp>CHG_PCT_1M_RT</stp>
        <tr r="H365" s="2"/>
      </tp>
      <tp>
        <v>-3.6120999999999999</v>
        <stp/>
        <stp>BDP|9143877456553020099|22</stp>
        <stp>FAST UW Equity</stp>
        <stp>CHG_PCT_1M_RT</stp>
        <tr r="H186" s="2"/>
      </tp>
      <tp>
        <v>-12.272500000000001</v>
        <stp/>
        <stp>BDP|2913872900811673660|22</stp>
        <stp>MKTX UW Equity</stp>
        <stp>CHG_PCT_1M_RT</stp>
        <tr r="H315" s="2"/>
      </tp>
      <tp>
        <v>0.74419999122619629</v>
        <stp/>
        <stp>BDP|7670680480025924522|22</stp>
        <stp>JCI Index</stp>
        <stp>RT_PX_CHG_PCT_1D</stp>
        <tr r="F535" s="2"/>
      </tp>
      <tp>
        <v>89.67</v>
        <stp/>
        <stp>BDP|12721343860974890879|22</stp>
        <stp>SWKS UW Equity</stp>
        <stp>LAST_PRICE</stp>
        <tr r="C432" s="2"/>
        <tr r="D432" s="2"/>
        <tr r="E432" s="2"/>
        <tr r="B432" s="2"/>
      </tp>
      <tp>
        <v>7.3658000000000001</v>
        <stp/>
        <stp>BDP|7746701874350357435|22</stp>
        <stp>TECH UW Equity</stp>
        <stp>CHG_PCT_3M_RT</stp>
        <tr r="I440" s="2"/>
      </tp>
      <tp>
        <v>1.6870000000000001</v>
        <stp/>
        <stp>BDP|8359464100328788952|22</stp>
        <stp>JKHY UW Equity</stp>
        <stp>CHG_PCT_3M_RT</stp>
        <tr r="I264" s="2"/>
      </tp>
      <tp>
        <v>3.4958</v>
        <stp/>
        <stp>BDP|2388372789534177429|22</stp>
        <stp>NTAP UW Equity</stp>
        <stp>REALTIME_5_DAY_CHANGE_PERCENT</stp>
        <tr r="G347" s="2"/>
      </tp>
      <tp>
        <v>7.3132000000000001</v>
        <stp/>
        <stp>BDP|3184349358477772845|22</stp>
        <stp>ALGN UW Equity</stp>
        <stp>CHG_PCT_3M_RT</stp>
        <tr r="I26" s="2"/>
      </tp>
      <tp>
        <v>78.650000000000006</v>
        <stp/>
        <stp>BDP|17699600532671158858|22</stp>
        <stp>CSGP UW Equity</stp>
        <stp>LAST_PRICE</stp>
        <tr r="D121" s="2"/>
        <tr r="C121" s="2"/>
        <tr r="E121" s="2"/>
        <tr r="B121" s="2"/>
      </tp>
      <tp>
        <v>-18.975200000000001</v>
        <stp/>
        <stp>BDP|1662256290580258571|22</stp>
        <stp>ON UW Equity</stp>
        <stp>CHG_PCT_YTD_RT</stp>
        <tr r="J359" s="2"/>
      </tp>
      <tp>
        <v>12.3607</v>
        <stp/>
        <stp>BDP|5807233403161955499|22</stp>
        <stp>VZ UN Equity</stp>
        <stp>CHG_PCT_YTD_RT</stp>
        <tr r="J484" s="2"/>
      </tp>
      <tp>
        <v>-2.637</v>
        <stp/>
        <stp>BDP|6821314582493362701|22</stp>
        <stp>V UN Equity</stp>
        <stp>REALTIME_5_DAY_CHANGE_PERCENT</stp>
        <tr r="G473" s="2"/>
      </tp>
      <tp>
        <v>-3.052</v>
        <stp/>
        <stp>BDP|3477727386027911510|22</stp>
        <stp>D UN Equity</stp>
        <stp>REALTIME_5_DAY_CHANGE_PERCENT</stp>
        <tr r="G131" s="2"/>
      </tp>
      <tp>
        <v>223.26</v>
        <stp/>
        <stp>BDP|16634154510183247146|22</stp>
        <stp>SBAC UW Equity</stp>
        <stp>LAST_PRICE</stp>
        <tr r="D411" s="2"/>
        <tr r="E411" s="2"/>
        <tr r="B411" s="2"/>
        <tr r="C411" s="2"/>
      </tp>
      <tp>
        <v>1254.9000000000001</v>
        <stp/>
        <stp>BDP|14213463358419472307|22</stp>
        <stp>ORLY UW Equity</stp>
        <stp>LAST_PRICE</stp>
        <tr r="B361" s="2"/>
        <tr r="C361" s="2"/>
        <tr r="D361" s="2"/>
        <tr r="E361" s="2"/>
      </tp>
      <tp>
        <v>2.8216000000000001</v>
        <stp/>
        <stp>BDP|9815218518159235202|22</stp>
        <stp>CDNS UW Equity</stp>
        <stp>CHG_PCT_1M_RT</stp>
        <tr r="H88" s="2"/>
      </tp>
      <tp>
        <v>9.7667999999999999</v>
        <stp/>
        <stp>BDP|5154774535589633275|22</stp>
        <stp>POOL UW Equity</stp>
        <stp>CHG_PCT_3M_RT</stp>
        <tr r="I386" s="2"/>
      </tp>
      <tp>
        <v>11.235200000000001</v>
        <stp/>
        <stp>BDP|7111854037838329589|22</stp>
        <stp>NDAQ UW Equity</stp>
        <stp>CHG_PCT_3M_RT</stp>
        <tr r="I336" s="2"/>
      </tp>
      <tp>
        <v>3.4897</v>
        <stp/>
        <stp>BDP|7268006979465656819|22</stp>
        <stp>MSFT UW Equity</stp>
        <stp>REALTIME_5_DAY_CHANGE_PERCENT</stp>
        <tr r="G329" s="2"/>
      </tp>
      <tp>
        <v>33.047699999999999</v>
        <stp/>
        <stp>BDP|6741003766722951208|22</stp>
        <stp>GDDY UN Equity</stp>
        <stp>CHG_PCT_3M_RT</stp>
        <tr r="I204" s="2"/>
      </tp>
      <tp>
        <v>78.41</v>
        <stp/>
        <stp>BDP|14195665107728497421|22</stp>
        <stp>DXCM UW Equity</stp>
        <stp>LAST_PRICE</stp>
        <tr r="B155" s="2"/>
        <tr r="E155" s="2"/>
        <tr r="C155" s="2"/>
        <tr r="D155" s="2"/>
      </tp>
      <tp>
        <v>-5.8166000000000002</v>
        <stp/>
        <stp>BDP|1167697861243737414|22</stp>
        <stp>UBER UN Equity</stp>
        <stp>CHG_PCT_3M_RT</stp>
        <tr r="I464" s="2"/>
      </tp>
      <tp>
        <v>16.923200000000001</v>
        <stp/>
        <stp>BDP|1695265810904947718|22</stp>
        <stp>DELL UN Equity</stp>
        <stp>CHG_PCT_3M_RT</stp>
        <tr r="I137" s="2"/>
      </tp>
      <tp>
        <v>-4.2805999999999997</v>
        <stp/>
        <stp>BDP|6388086224707179427|22</stp>
        <stp>NXPI UW Equity</stp>
        <stp>REALTIME_5_DAY_CHANGE_PERCENT</stp>
        <tr r="G354" s="2"/>
      </tp>
      <tp>
        <v>138.81</v>
        <stp/>
        <stp>BDP|16070028853104988797|22</stp>
        <stp>NVDA UW Equity</stp>
        <stp>LAST_PRICE</stp>
        <tr r="E350" s="2"/>
        <tr r="B350" s="2"/>
        <tr r="C350" s="2"/>
        <tr r="D350" s="2"/>
      </tp>
      <tp>
        <v>1.1614</v>
        <stp/>
        <stp>BDP|3672784996853065571|22</stp>
        <stp>STI Index</stp>
        <stp>REALTIME_5_DAY_CHANGE_PERCENT</stp>
        <tr r="G537" s="2"/>
      </tp>
      <tp t="s">
        <v>#N/A N/A</v>
        <stp/>
        <stp>BDP|8018991621903384903|22</stp>
        <stp>AMTM UN Equity</stp>
        <stp>CHG_PCT_3M_RT</stp>
        <tr r="I36" s="2"/>
      </tp>
      <tp>
        <v>-4.8792</v>
        <stp/>
        <stp>BDP|1031697339436331382|22</stp>
        <stp>REGN UW Equity</stp>
        <stp>CHG_PCT_1M_RT</stp>
        <tr r="H399" s="2"/>
      </tp>
      <tp>
        <v>-4.0399999999999998E-2</v>
        <stp/>
        <stp>BDP|2240507830429490052|22</stp>
        <stp>TROW UW Equity</stp>
        <stp>REALTIME_5_DAY_CHANGE_PERCENT</stp>
        <tr r="G453" s="2"/>
      </tp>
      <tp>
        <v>-10.5036</v>
        <stp/>
        <stp>BDP|6406975839957629257|22</stp>
        <stp>AMAT UW Equity</stp>
        <stp>CHG_PCT_1M_RT</stp>
        <tr r="H29" s="2"/>
      </tp>
      <tp>
        <v>-28.892199999999999</v>
        <stp/>
        <stp>BDP|5175560700520069906|22</stp>
        <stp>AMTM UN Equity</stp>
        <stp>CHG_PCT_1M_RT</stp>
        <tr r="H36" s="2"/>
      </tp>
      <tp>
        <v>24.119800000000001</v>
        <stp/>
        <stp>BDP|17774037066731860049|22</stp>
        <stp>SHSZ300 Index</stp>
        <stp>CHG_PCT_3M_RT</stp>
        <tr r="I530" s="2"/>
      </tp>
      <tp>
        <v>-8.7143999999999995</v>
        <stp/>
        <stp>BDP|5970604601273972376|22</stp>
        <stp>WY UN Equity</stp>
        <stp>CHG_PCT_YTD_RT</stp>
        <tr r="J499" s="2"/>
      </tp>
      <tp>
        <v>-5.1288999999999998</v>
        <stp/>
        <stp>BDP|4039124073557900773|22</stp>
        <stp>PAYX UW Equity</stp>
        <stp>CHG_PCT_1M_RT</stp>
        <tr r="H367" s="2"/>
      </tp>
      <tp>
        <v>-1.7178</v>
        <stp/>
        <stp>BDP|8986193607834454020|22</stp>
        <stp>MNST UW Equity</stp>
        <stp>CHG_PCT_1M_RT</stp>
        <tr r="H319" s="2"/>
      </tp>
      <tp>
        <v>-3.4607999999999999</v>
        <stp/>
        <stp>BDP|5529414922820915511|22</stp>
        <stp>F UN Equity</stp>
        <stp>REALTIME_5_DAY_CHANGE_PERCENT</stp>
        <tr r="G184" s="2"/>
      </tp>
      <tp>
        <v>4.0159000000000002</v>
        <stp/>
        <stp>BDP|7867598046322389341|22</stp>
        <stp>IDXX UW Equity</stp>
        <stp>CHG_PCT_1M_RT</stp>
        <tr r="H244" s="2"/>
      </tp>
      <tp>
        <v>7.7415000000000003</v>
        <stp/>
        <stp>BDP|5242639594135831191|22</stp>
        <stp>SMCI UW Equity</stp>
        <stp>CHG_PCT_3M_RT</stp>
        <tr r="I417" s="2"/>
      </tp>
      <tp>
        <v>114.83</v>
        <stp/>
        <stp>BDP|12814756154064899027|22</stp>
        <stp>PCAR UW Equity</stp>
        <stp>LAST_PRICE</stp>
        <tr r="C368" s="2"/>
        <tr r="D368" s="2"/>
        <tr r="E368" s="2"/>
        <tr r="B368" s="2"/>
      </tp>
      <tp>
        <v>-4.5301</v>
        <stp/>
        <stp>BDP|1209829203936154317|22</stp>
        <stp>STLD UW Equity</stp>
        <stp>REALTIME_5_DAY_CHANGE_PERCENT</stp>
        <tr r="G426" s="2"/>
      </tp>
      <tp>
        <v>18.3171</v>
        <stp/>
        <stp>BDP|8960306700148790504|22</stp>
        <stp>KEYS UN Equity</stp>
        <stp>CHG_PCT_3M_RT</stp>
        <tr r="I271" s="2"/>
      </tp>
      <tp>
        <v>61.87</v>
        <stp/>
        <stp>BDP|10001679463695899666|22</stp>
        <stp>MCHP UW Equity</stp>
        <stp>LAST_PRICE</stp>
        <tr r="B305" s="2"/>
        <tr r="C305" s="2"/>
        <tr r="D305" s="2"/>
        <tr r="E305" s="2"/>
      </tp>
      <tp>
        <v>-0.8357</v>
        <stp/>
        <stp>BDP|216364777939204729|22</stp>
        <stp>CAC Index</stp>
        <stp>CHG_PCT_YTD_RT</stp>
        <tr r="J519" s="2"/>
      </tp>
      <tp>
        <v>-1.0956999999999999</v>
        <stp/>
        <stp>BDP|1102078061239850265|22</stp>
        <stp>HUBB UN Equity</stp>
        <stp>REALTIME_5_DAY_CHANGE_PERCENT</stp>
        <tr r="G239" s="2"/>
      </tp>
      <tp>
        <v>-5.5011999999999999</v>
        <stp/>
        <stp>BDP|8008232024730423489|22</stp>
        <stp>INTU UW Equity</stp>
        <stp>CHG_PCT_1M_RT</stp>
        <tr r="H249" s="2"/>
      </tp>
      <tp>
        <v>-2.6599999999999999E-2</v>
        <stp/>
        <stp>BDP|3537574901278725383|22</stp>
        <stp>TTWO UW Equity</stp>
        <stp>REALTIME_5_DAY_CHANGE_PERCENT</stp>
        <tr r="G459" s="2"/>
      </tp>
      <tp>
        <v>1.9761</v>
        <stp/>
        <stp>BDP|9076000013889803115|22</stp>
        <stp>ABNB UW Equity</stp>
        <stp>CHG_PCT_1M_RT</stp>
        <tr r="H8" s="2"/>
      </tp>
      <tp>
        <v>17.8718</v>
        <stp/>
        <stp>BDP|5620438768136254194|22</stp>
        <stp>HBAN UW Equity</stp>
        <stp>CHG_PCT_3M_RT</stp>
        <tr r="I224" s="2"/>
      </tp>
      <tp>
        <v>0.88919999999999999</v>
        <stp/>
        <stp>BDP|5021279218610207690|22</stp>
        <stp>CBRE UN Equity</stp>
        <stp>CHG_PCT_1M_RT</stp>
        <tr r="H85" s="2"/>
      </tp>
      <tp>
        <v>913.69</v>
        <stp/>
        <stp>BDP|15849237358305855648|22</stp>
        <stp>NFLX UW Equity</stp>
        <stp>LAST_PRICE</stp>
        <tr r="C340" s="2"/>
        <tr r="D340" s="2"/>
        <tr r="E340" s="2"/>
        <tr r="B340" s="2"/>
      </tp>
      <tp>
        <v>127.6</v>
        <stp/>
        <stp>BDP|17602228403213067658|22</stp>
        <stp>NTAP UW Equity</stp>
        <stp>LAST_PRICE</stp>
        <tr r="D347" s="2"/>
        <tr r="E347" s="2"/>
        <tr r="B347" s="2"/>
        <tr r="C347" s="2"/>
      </tp>
      <tp>
        <v>43.413499999999999</v>
        <stp/>
        <stp>BDP|3437190261222780520|22</stp>
        <stp>PAYC UN Equity</stp>
        <stp>CHG_PCT_3M_RT</stp>
        <tr r="I366" s="2"/>
      </tp>
      <tp>
        <v>4.2981999999999996</v>
        <stp/>
        <stp>BDP|6082369028380600036|22</stp>
        <stp>KEYS UN Equity</stp>
        <stp>CHG_PCT_1M_RT</stp>
        <tr r="H271" s="2"/>
      </tp>
      <tp>
        <v>1.3334999999999999</v>
        <stp/>
        <stp>BDP|4825862299863443838|22</stp>
        <stp>SWKS UW Equity</stp>
        <stp>REALTIME_5_DAY_CHANGE_PERCENT</stp>
        <tr r="G432" s="2"/>
      </tp>
      <tp>
        <v>2.706</v>
        <stp/>
        <stp>BDP|6528452810273341395|22</stp>
        <stp>PAYC UN Equity</stp>
        <stp>CHG_PCT_1M_RT</stp>
        <tr r="H366" s="2"/>
      </tp>
      <tp>
        <v>30.456199999999999</v>
        <stp/>
        <stp>BDP|7706688084662403452|22</stp>
        <stp>ANET UN Equity</stp>
        <stp>CHG_PCT_3M_RT</stp>
        <tr r="I38" s="2"/>
      </tp>
      <tp>
        <v>1.5302</v>
        <stp/>
        <stp>BDP|9031482461611393498|22</stp>
        <stp>CTLT UN Equity</stp>
        <stp>REALTIME_5_DAY_CHANGE_PERCENT</stp>
        <tr r="G124" s="2"/>
      </tp>
      <tp>
        <v>-3.0303</v>
        <stp/>
        <stp>BDP|2592414510718609128|22</stp>
        <stp>VTRS UW Equity</stp>
        <stp>REALTIME_5_DAY_CHANGE_PERCENT</stp>
        <tr r="G483" s="2"/>
      </tp>
      <tp>
        <v>8.3414000000000001</v>
        <stp/>
        <stp>BDP|6854970380593585451|22</stp>
        <stp>PARA UW Equity</stp>
        <stp>CHG_PCT_3M_RT</stp>
        <tr r="I365" s="2"/>
      </tp>
      <tp>
        <v>5.3707000000000003</v>
        <stp/>
        <stp>BDP|8813319722502422563|22</stp>
        <stp>SOLV UN Equity</stp>
        <stp>CHG_PCT_3M_RT</stp>
        <tr r="I421" s="2"/>
      </tp>
      <tp>
        <v>-1.6344000000000001</v>
        <stp/>
        <stp>BDP|9448729837477916761|22</stp>
        <stp>ALLE UN Equity</stp>
        <stp>CHG_PCT_1M_RT</stp>
        <tr r="H28" s="2"/>
      </tp>
      <tp>
        <v>-7.1902999999999997</v>
        <stp/>
        <stp>BDP|4662812670607140970|22</stp>
        <stp>MDLZ UW Equity</stp>
        <stp>CHG_PCT_1M_RT</stp>
        <tr r="H308" s="2"/>
      </tp>
      <tp>
        <v>-15.0954</v>
        <stp/>
        <stp>BDP|4599558374185107114|22</stp>
        <stp>MCHP UW Equity</stp>
        <stp>CHG_PCT_1M_RT</stp>
        <tr r="H305" s="2"/>
      </tp>
      <tp>
        <v>4.26</v>
        <stp/>
        <stp>BDP|3813048201919720077|22</stp>
        <stp>AKAM UW Equity</stp>
        <stp>CHG_PCT_3M_RT</stp>
        <tr r="I24" s="2"/>
      </tp>
      <tp>
        <v>80.097899999999996</v>
        <stp/>
        <stp>BDP|6602887920575416517|22</stp>
        <stp>SMCI UW Equity</stp>
        <stp>CHG_PCT_1M_RT</stp>
        <tr r="H417" s="2"/>
      </tp>
      <tp t="s">
        <v>#N/A N/A</v>
        <stp/>
        <stp>BDP|3472627886085520497|22</stp>
        <stp>SW UN Equity</stp>
        <stp>CHG_PCT_YTD_RT</stp>
        <tr r="J430" s="2"/>
      </tp>
      <tp>
        <v>-1.8207</v>
        <stp/>
        <stp>BDP|8465101396968913339|22</stp>
        <stp>SPGI UN Equity</stp>
        <stp>REALTIME_5_DAY_CHANGE_PERCENT</stp>
        <tr r="G423" s="2"/>
      </tp>
      <tp>
        <v>99.12</v>
        <stp/>
        <stp>BDP|16056617923552681249|22</stp>
        <stp>AKAM UW Equity</stp>
        <stp>LAST_PRICE</stp>
        <tr r="C24" s="2"/>
        <tr r="D24" s="2"/>
        <tr r="E24" s="2"/>
        <tr r="B24" s="2"/>
      </tp>
      <tp>
        <v>10.297700000000001</v>
        <stp/>
        <stp>BDP|2191623732022512661|22</stp>
        <stp>SCHW UN Equity</stp>
        <stp>CHG_PCT_1M_RT</stp>
        <tr r="H413" s="2"/>
      </tp>
      <tp>
        <v>59.74</v>
        <stp/>
        <stp>BDP|11726551834379945010|22</stp>
        <stp>CTVA UN Equity</stp>
        <stp>LAST_PRICE</stp>
        <tr r="B127" s="2"/>
        <tr r="E127" s="2"/>
        <tr r="C127" s="2"/>
        <tr r="D127" s="2"/>
      </tp>
      <tp>
        <v>10.594099999999999</v>
        <stp/>
        <stp>BDP|6862088516718509189|22</stp>
        <stp>ANSS UW Equity</stp>
        <stp>CHG_PCT_3M_RT</stp>
        <tr r="I39" s="2"/>
      </tp>
      <tp>
        <v>17.28</v>
        <stp/>
        <stp>BDP|15804127689439652959|22</stp>
        <stp>HBAN UW Equity</stp>
        <stp>LAST_PRICE</stp>
        <tr r="B224" s="2"/>
        <tr r="C224" s="2"/>
        <tr r="D224" s="2"/>
        <tr r="E224" s="2"/>
      </tp>
      <tp>
        <v>-9.7360000000000007</v>
        <stp/>
        <stp>BDP|5248657108116757692|22</stp>
        <stp>ACGL UW Equity</stp>
        <stp>CHG_PCT_3M_RT</stp>
        <tr r="I10" s="2"/>
      </tp>
      <tp>
        <v>1.8956999999999999</v>
        <stp/>
        <stp>BDP|7929949949646577946|22</stp>
        <stp>TECH UW Equity</stp>
        <stp>CHG_PCT_1M_RT</stp>
        <tr r="H440" s="2"/>
      </tp>
      <tp>
        <v>3.4922</v>
        <stp/>
        <stp>BDP|9630396383496482502|22</stp>
        <stp>CARR UN Equity</stp>
        <stp>CHG_PCT_3M_RT</stp>
        <tr r="I81" s="2"/>
      </tp>
      <tp>
        <v>-21.4834</v>
        <stp/>
        <stp>BDP|6831257436878669692|22</stp>
        <stp>BIIB UW Equity</stp>
        <stp>CHG_PCT_3M_RT</stp>
        <tr r="I64" s="2"/>
      </tp>
      <tp>
        <v>1.1369</v>
        <stp/>
        <stp>BDP|4413218547089994797|22</stp>
        <stp>VLTO UN Equity</stp>
        <stp>CHG_PCT_1M_RT</stp>
        <tr r="H476" s="2"/>
      </tp>
      <tp>
        <v>1.8044</v>
        <stp/>
        <stp>BDP|9075656726105759707|22</stp>
        <stp>FTNT UW Equity</stp>
        <stp>REALTIME_5_DAY_CHANGE_PERCENT</stp>
        <tr r="G201" s="2"/>
      </tp>
      <tp>
        <v>43.75</v>
        <stp/>
        <stp>BDP|238520839843897832|22</stp>
        <stp>FOX UW Equity</stp>
        <stp>LAST_PRICE</stp>
        <tr r="C197" s="2"/>
        <tr r="D197" s="2"/>
        <tr r="E197" s="2"/>
        <tr r="B197" s="2"/>
      </tp>
      <tp>
        <v>-2.7832000255584717</v>
        <stp/>
        <stp>BDP|11084929690526149113|22</stp>
        <stp>KOSPI Index</stp>
        <stp>RT_PX_CHG_PCT_1D</stp>
        <tr r="F532" s="2"/>
      </tp>
      <tp>
        <v>-9.5017004013061523</v>
        <stp/>
        <stp>BDP|7006576260241030378|22</stp>
        <stp>CMCSA UW Equity</stp>
        <stp>RT_PX_CHG_PCT_1D</stp>
        <tr r="F101" s="2"/>
      </tp>
      <tp>
        <v>10.914899999999999</v>
        <stp/>
        <stp>BDP|3992114868563298137|22</stp>
        <stp>BF/B UN Equity</stp>
        <stp>CHG_PCT_1M_RT</stp>
        <tr r="H62" s="2"/>
      </tp>
      <tp>
        <v>16.548400000000001</v>
        <stp/>
        <stp>BDP|1506539642109750232|22</stp>
        <stp>PG UN Equity</stp>
        <stp>CHG_PCT_YTD_RT</stp>
        <tr r="J374" s="2"/>
      </tp>
      <tp>
        <v>32.765700000000002</v>
        <stp/>
        <stp>BDP|3553526036201981475|22</stp>
        <stp>RF UN Equity</stp>
        <stp>CHG_PCT_YTD_RT</stp>
        <tr r="J400" s="2"/>
      </tp>
      <tp>
        <v>31.478400000000001</v>
        <stp/>
        <stp>BDP|13494315531580481665|22</stp>
        <stp>CCMP Index</stp>
        <stp>CHG_PCT_YTD_RT</stp>
        <tr r="J508" s="2"/>
      </tp>
      <tp>
        <v>3.1074000000000002</v>
        <stp/>
        <stp>BDP|2427850247335532626|22</stp>
        <stp>GRMN UN Equity</stp>
        <stp>CHG_PCT_1M_RT</stp>
        <tr r="H219" s="2"/>
      </tp>
      <tp>
        <v>0.95589999999999997</v>
        <stp/>
        <stp>BDP|6546354095881935015|22</stp>
        <stp>SPX Index</stp>
        <stp>CHG_PCT_1M_RT</stp>
        <tr r="H4" s="2"/>
      </tp>
      <tp>
        <v>71.599999999999994</v>
        <stp/>
        <stp>BDP|16437018397174136391|22</stp>
        <stp>DLTR UW Equity</stp>
        <stp>LAST_PRICE</stp>
        <tr r="D145" s="2"/>
        <tr r="C145" s="2"/>
        <tr r="E145" s="2"/>
        <tr r="B145" s="2"/>
      </tp>
      <tp>
        <v>-10.1593</v>
        <stp/>
        <stp>BDP|9632289197942837839|22</stp>
        <stp>SWKS UW Equity</stp>
        <stp>CHG_PCT_3M_RT</stp>
        <tr r="I432" s="2"/>
      </tp>
      <tp>
        <v>-13.0435</v>
        <stp/>
        <stp>BDP|13291107922699474326|22</stp>
        <stp>F UN Equity</stp>
        <stp>CHG_PCT_YTD_RT</stp>
        <tr r="J184" s="2"/>
      </tp>
      <tp>
        <v>-11.098599999999999</v>
        <stp/>
        <stp>BDP|15942745426415019428|22</stp>
        <stp>KOSPI Index</stp>
        <stp>CHG_PCT_YTD_RT</stp>
        <tr r="J532" s="2"/>
      </tp>
      <tp>
        <v>0.8562999963760376</v>
        <stp/>
        <stp>BDP|14374549247863394432|22</stp>
        <stp>F UN Equity</stp>
        <stp>RT_PX_CHG_PCT_1D</stp>
        <tr r="F184" s="2"/>
      </tp>
      <tp>
        <v>-0.4743</v>
        <stp/>
        <stp>BDP|6179460691507870599|22</stp>
        <stp>NWSA UW Equity</stp>
        <stp>CHG_PCT_1M_RT</stp>
        <tr r="H353" s="2"/>
      </tp>
      <tp>
        <v>284.91000000000003</v>
        <stp/>
        <stp>BDP|13893916898764802558|22</stp>
        <stp>VRSK UW Equity</stp>
        <stp>LAST_PRICE</stp>
        <tr r="B478" s="2"/>
        <tr r="C478" s="2"/>
        <tr r="D478" s="2"/>
        <tr r="E478" s="2"/>
      </tp>
      <tp>
        <v>-6.4000000000000001E-2</v>
        <stp/>
        <stp>BDP|9830665871302982241|22</stp>
        <stp>EVRG UW Equity</stp>
        <stp>CHG_PCT_1M_RT</stp>
        <tr r="H178" s="2"/>
      </tp>
      <tp>
        <v>-1.8272999999999999</v>
        <stp/>
        <stp>BDP|6273461825494298343|22</stp>
        <stp>SMI Index</stp>
        <stp>CHG_PCT_3M_RT</stp>
        <tr r="I525" s="2"/>
      </tp>
      <tp>
        <v>3.4984999999999999</v>
        <stp/>
        <stp>BDP|1311763172895733443|22</stp>
        <stp>META UW Equity</stp>
        <stp>REALTIME_5_DAY_CHANGE_PERCENT</stp>
        <tr r="G311" s="2"/>
      </tp>
      <tp>
        <v>4.8461999999999996</v>
        <stp/>
        <stp>BDP|6240238519857741409|22</stp>
        <stp>EXPE UW Equity</stp>
        <stp>CHG_PCT_1M_RT</stp>
        <tr r="H182" s="2"/>
      </tp>
      <tp>
        <v>-1.1546000000000001</v>
        <stp/>
        <stp>BDP|7950562985566866632|22</stp>
        <stp>FOXA UW Equity</stp>
        <stp>REALTIME_5_DAY_CHANGE_PERCENT</stp>
        <tr r="G198" s="2"/>
      </tp>
      <tp>
        <v>3.5390999999999999</v>
        <stp/>
        <stp>BDP|9066747318376075345|22</stp>
        <stp>CTAS UW Equity</stp>
        <stp>CHG_PCT_3M_RT</stp>
        <tr r="I123" s="2"/>
      </tp>
      <tp>
        <v>9.2605000000000004</v>
        <stp/>
        <stp>BDP|9802593549045358729|22</stp>
        <stp>MTCH UW Equity</stp>
        <stp>CHG_PCT_1M_RT</stp>
        <tr r="H332" s="2"/>
      </tp>
      <tp>
        <v>10.6342</v>
        <stp/>
        <stp>BDP|5148545559061181447|22</stp>
        <stp>SPX Index</stp>
        <stp>CHG_PCT_3M_RT</stp>
        <tr r="I4" s="2"/>
      </tp>
      <tp>
        <v>31.36</v>
        <stp/>
        <stp>BDP|334706563029007329|22</stp>
        <stp>CNP UN Equity</stp>
        <stp>LAST_PRICE</stp>
        <tr r="B107" s="2"/>
        <tr r="E107" s="2"/>
        <tr r="C107" s="2"/>
        <tr r="D107" s="2"/>
      </tp>
      <tp>
        <v>0.1242000013589859</v>
        <stp/>
        <stp>BDP|8537553595926006664|22</stp>
        <stp>BK UN Equity</stp>
        <stp>RT_PX_CHG_PCT_1D</stp>
        <tr r="F65" s="2"/>
      </tp>
      <tp>
        <v>1.4381999969482422</v>
        <stp/>
        <stp>BDP|6231023830056298711|22</stp>
        <stp>WY UN Equity</stp>
        <stp>RT_PX_CHG_PCT_1D</stp>
        <tr r="F499" s="2"/>
      </tp>
      <tp>
        <v>-1.761199951171875</v>
        <stp/>
        <stp>BDP|1235874221361286156|22</stp>
        <stp>IP UN Equity</stp>
        <stp>RT_PX_CHG_PCT_1D</stp>
        <tr r="F251" s="2"/>
      </tp>
      <tp>
        <v>-14.3444</v>
        <stp/>
        <stp>BDP|6590337383035819943|22</stp>
        <stp>GL UN Equity</stp>
        <stp>CHG_PCT_YTD_RT</stp>
        <tr r="J211" s="2"/>
      </tp>
      <tp>
        <v>0.55190002918243408</v>
        <stp/>
        <stp>BDP|14850375645172857287|22</stp>
        <stp>O UN Equity</stp>
        <stp>RT_PX_CHG_PCT_1D</stp>
        <tr r="F355" s="2"/>
      </tp>
      <tp>
        <v>-1.3971</v>
        <stp/>
        <stp>BDP|6078420755568154096|22</stp>
        <stp>VICI UN Equity</stp>
        <stp>REALTIME_5_DAY_CHANGE_PERCENT</stp>
        <tr r="G474" s="2"/>
      </tp>
      <tp>
        <v>452.22</v>
        <stp/>
        <stp>BDP|11081777911480622670|22</stp>
        <stp>HUBB UN Equity</stp>
        <stp>LAST_PRICE</stp>
        <tr r="E239" s="2"/>
        <tr r="C239" s="2"/>
        <tr r="D239" s="2"/>
        <tr r="B239" s="2"/>
      </tp>
      <tp>
        <v>20.692</v>
        <stp/>
        <stp>BDP|5946582192047013884|22</stp>
        <stp>C UN Equity</stp>
        <stp>CHG_PCT_3M_RT</stp>
        <tr r="I78" s="2"/>
      </tp>
      <tp>
        <v>-3.3573</v>
        <stp/>
        <stp>BDP|5604897551419858976|22</stp>
        <stp>HUBB UN Equity</stp>
        <stp>CHG_PCT_1M_RT</stp>
        <tr r="H239" s="2"/>
      </tp>
      <tp>
        <v>62.37</v>
        <stp/>
        <stp>BDP|13225767398575289677|22</stp>
        <stp>CTLT UN Equity</stp>
        <stp>LAST_PRICE</stp>
        <tr r="D124" s="2"/>
        <tr r="E124" s="2"/>
        <tr r="B124" s="2"/>
        <tr r="C124" s="2"/>
      </tp>
      <tp>
        <v>0.57199999999999995</v>
        <stp/>
        <stp>BDP|8716282888929558103|22</stp>
        <stp>SWKS UW Equity</stp>
        <stp>CHG_PCT_1M_RT</stp>
        <tr r="H432" s="2"/>
      </tp>
      <tp>
        <v>-0.16900000000000001</v>
        <stp/>
        <stp>BDP|3217877966346956042|22</stp>
        <stp>AMGN UW Equity</stp>
        <stp>REALTIME_5_DAY_CHANGE_PERCENT</stp>
        <tr r="G33" s="2"/>
      </tp>
      <tp>
        <v>44.124499999999998</v>
        <stp/>
        <stp>BDP|13548038643225140921|22</stp>
        <stp>K UN Equity</stp>
        <stp>CHG_PCT_YTD_RT</stp>
        <tr r="J268" s="2"/>
      </tp>
      <tp>
        <v>-0.82050001621246338</v>
        <stp/>
        <stp>BDP|6632817564693713542|22</stp>
        <stp>GD UN Equity</stp>
        <stp>RT_PX_CHG_PCT_1D</stp>
        <tr r="F203" s="2"/>
      </tp>
      <tp>
        <v>22.5809</v>
        <stp/>
        <stp>BDP|9623765700064922410|22</stp>
        <stp>MA UN Equity</stp>
        <stp>CHG_PCT_YTD_RT</stp>
        <tr r="J300" s="2"/>
      </tp>
      <tp>
        <v>23.843599999999999</v>
        <stp/>
        <stp>BDP|6397067451870801983|22</stp>
        <stp>HD UN Equity</stp>
        <stp>CHG_PCT_YTD_RT</stp>
        <tr r="J226" s="2"/>
      </tp>
      <tp>
        <v>418.01</v>
        <stp/>
        <stp>BDP|18382574440043864755|22</stp>
        <stp>ULTA UW Equity</stp>
        <stp>LAST_PRICE</stp>
        <tr r="E467" s="2"/>
        <tr r="B467" s="2"/>
        <tr r="C467" s="2"/>
        <tr r="D467" s="2"/>
      </tp>
      <tp>
        <v>-8.5398999999999994</v>
        <stp/>
        <stp>BDP|9411079116264008084|22</stp>
        <stp>MKTX UW Equity</stp>
        <stp>REALTIME_5_DAY_CHANGE_PERCENT</stp>
        <tr r="G315" s="2"/>
      </tp>
      <tp>
        <v>-0.79490000000000005</v>
        <stp/>
        <stp>BDP|9749458098927828625|22</stp>
        <stp>CBRE UN Equity</stp>
        <stp>REALTIME_5_DAY_CHANGE_PERCENT</stp>
        <tr r="G85" s="2"/>
      </tp>
      <tp>
        <v>97.11</v>
        <stp/>
        <stp>BDP|585438990389003673|22</stp>
        <stp>WEC UN Equity</stp>
        <stp>LAST_PRICE</stp>
        <tr r="D490" s="2"/>
        <tr r="E490" s="2"/>
        <tr r="B490" s="2"/>
        <tr r="C490" s="2"/>
      </tp>
      <tp>
        <v>-0.50120002031326294</v>
        <stp/>
        <stp>BDP|14450554574358485042|22</stp>
        <stp>IBEX Index</stp>
        <stp>RT_PX_CHG_PCT_1D</stp>
        <tr r="F521" s="2"/>
      </tp>
      <tp>
        <v>3.5748000000000002</v>
        <stp/>
        <stp>BDP|10679796477336196251|22</stp>
        <stp>A UN Equity</stp>
        <stp>CHG_PCT_YTD_RT</stp>
        <tr r="J5" s="2"/>
      </tp>
      <tp>
        <v>-1.7431999444961548</v>
        <stp/>
        <stp>BDP|1683181905930911030|22</stp>
        <stp>PG UN Equity</stp>
        <stp>RT_PX_CHG_PCT_1D</stp>
        <tr r="F374" s="2"/>
      </tp>
      <tp>
        <v>0.8694000244140625</v>
        <stp/>
        <stp>BDP|2091284053612384193|22</stp>
        <stp>DD UN Equity</stp>
        <stp>RT_PX_CHG_PCT_1D</stp>
        <tr r="F134" s="2"/>
      </tp>
      <tp>
        <v>-0.88069999217987061</v>
        <stp/>
        <stp>BDP|3435638136501949197|22</stp>
        <stp>EW UN Equity</stp>
        <stp>RT_PX_CHG_PCT_1D</stp>
        <tr r="F179" s="2"/>
      </tp>
      <tp>
        <v>0.4798</v>
        <stp/>
        <stp>BDP|15175020353520960404|22</stp>
        <stp>SHSZ300 Index</stp>
        <stp>REALTIME_5_DAY_CHANGE_PERCENT</stp>
        <tr r="G530" s="2"/>
      </tp>
      <tp>
        <v>3.8321000000000001</v>
        <stp/>
        <stp>BDP|2243625774907604834|22</stp>
        <stp>LH UN Equity</stp>
        <stp>CHG_PCT_YTD_RT</stp>
        <tr r="J285" s="2"/>
      </tp>
      <tp>
        <v>4.1062000000000003</v>
        <stp/>
        <stp>BDP|3065626747687579991|22</stp>
        <stp>CTLT UN Equity</stp>
        <stp>CHG_PCT_3M_RT</stp>
        <tr r="I124" s="2"/>
      </tp>
      <tp>
        <v>3.3613</v>
        <stp/>
        <stp>BDP|8495529011043815863|22</stp>
        <stp>CAC Index</stp>
        <stp>REALTIME_5_DAY_CHANGE_PERCENT</stp>
        <tr r="G519" s="2"/>
      </tp>
      <tp>
        <v>613.57000000000005</v>
        <stp/>
        <stp>BDP|13137650620290376792|22</stp>
        <stp>META UW Equity</stp>
        <stp>LAST_PRICE</stp>
        <tr r="D311" s="2"/>
        <tr r="E311" s="2"/>
        <tr r="B311" s="2"/>
        <tr r="C311" s="2"/>
      </tp>
      <tp>
        <v>2.0941999999999998</v>
        <stp/>
        <stp>BDP|9458102032912012262|22</stp>
        <stp>SPGI UN Equity</stp>
        <stp>CHG_PCT_1M_RT</stp>
        <tr r="H423" s="2"/>
      </tp>
      <tp>
        <v>20.81</v>
        <stp/>
        <stp>BDP|13340100257978951039|22</stp>
        <stp>INTC UW Equity</stp>
        <stp>LAST_PRICE</stp>
        <tr r="C248" s="2"/>
        <tr r="D248" s="2"/>
        <tr r="E248" s="2"/>
        <tr r="B248" s="2"/>
      </tp>
      <tp>
        <v>0.13969999999999999</v>
        <stp/>
        <stp>BDP|6183453429672129914|22</stp>
        <stp>V UN Equity</stp>
        <stp>CHG_PCT_1M_RT</stp>
        <tr r="H473" s="2"/>
      </tp>
      <tp>
        <v>646.58000000000004</v>
        <stp/>
        <stp>BDP|10371783148933463491|22</stp>
        <stp>INTU UW Equity</stp>
        <stp>LAST_PRICE</stp>
        <tr r="B249" s="2"/>
        <tr r="C249" s="2"/>
        <tr r="D249" s="2"/>
        <tr r="E249" s="2"/>
      </tp>
      <tp>
        <v>24.841999999999999</v>
        <stp/>
        <stp>BDP|8898844895737372155|22</stp>
        <stp>STLD UW Equity</stp>
        <stp>CHG_PCT_3M_RT</stp>
        <tr r="I426" s="2"/>
      </tp>
      <tp>
        <v>3.0548999999999999</v>
        <stp/>
        <stp>BDP|8082312486518041223|22</stp>
        <stp>ORLY UW Equity</stp>
        <stp>CHG_PCT_1M_RT</stp>
        <tr r="H361" s="2"/>
      </tp>
      <tp>
        <v>-1.5428999999999999</v>
        <stp/>
        <stp>BDP|6190648709457144942|22</stp>
        <stp>INCY UW Equity</stp>
        <stp>REALTIME_5_DAY_CHANGE_PERCENT</stp>
        <tr r="G247" s="2"/>
      </tp>
      <tp>
        <v>-0.61970001459121704</v>
        <stp/>
        <stp>BDP|13713847718683874082|22</stp>
        <stp>CCMP Index</stp>
        <stp>RT_PX_CHG_PCT_1D</stp>
        <tr r="F508" s="2"/>
      </tp>
      <tp>
        <v>-2.4649999141693115</v>
        <stp/>
        <stp>BDP|1264895309369751931|22</stp>
        <stp>KR UN Equity</stp>
        <stp>RT_PX_CHG_PCT_1D</stp>
        <tr r="F280" s="2"/>
      </tp>
      <tp>
        <v>-0.58960002660751343</v>
        <stp/>
        <stp>BDP|3267220001590514024|22</stp>
        <stp>SO UN Equity</stp>
        <stp>RT_PX_CHG_PCT_1D</stp>
        <tr r="F420" s="2"/>
      </tp>
      <tp>
        <v>-0.92720001935958862</v>
        <stp/>
        <stp>BDP|4987864713759220585|22</stp>
        <stp>GS UN Equity</stp>
        <stp>RT_PX_CHG_PCT_1D</stp>
        <tr r="F220" s="2"/>
      </tp>
      <tp>
        <v>-39.752899999999997</v>
        <stp/>
        <stp>BDP|5219837713230564228|22</stp>
        <stp>BA UN Equity</stp>
        <stp>CHG_PCT_YTD_RT</stp>
        <tr r="J55" s="2"/>
      </tp>
      <tp>
        <v>6.2276999999999996</v>
        <stp/>
        <stp>BDP|6901316287029151594|22</stp>
        <stp>KO UN Equity</stp>
        <stp>CHG_PCT_YTD_RT</stp>
        <tr r="J279" s="2"/>
      </tp>
      <tp>
        <v>-27.828700000000001</v>
        <stp/>
        <stp>BDP|6917035265412433899|22</stp>
        <stp>LW UN Equity</stp>
        <stp>CHG_PCT_YTD_RT</stp>
        <tr r="J297" s="2"/>
      </tp>
      <tp>
        <v>41.575000000000003</v>
        <stp/>
        <stp>BDP|2426888817573530429|22</stp>
        <stp>BX UN Equity</stp>
        <stp>CHG_PCT_YTD_RT</stp>
        <tr r="J76" s="2"/>
      </tp>
      <tp>
        <v>201.6</v>
        <stp/>
        <stp>BDP|11786410433284103518|22</stp>
        <stp>CBOE UF Equity</stp>
        <stp>LAST_PRICE</stp>
        <tr r="D84" s="2"/>
        <tr r="E84" s="2"/>
        <tr r="B84" s="2"/>
        <tr r="C84" s="2"/>
      </tp>
      <tp>
        <v>123.81</v>
        <stp/>
        <stp>BDP|12446639898269561443|22</stp>
        <stp>DELL UN Equity</stp>
        <stp>LAST_PRICE</stp>
        <tr r="D137" s="2"/>
        <tr r="C137" s="2"/>
        <tr r="E137" s="2"/>
        <tr r="B137" s="2"/>
      </tp>
      <tp>
        <v>160.31</v>
        <stp/>
        <stp>BDP|18391383335416634851|22</stp>
        <stp>LDOS UN Equity</stp>
        <stp>LAST_PRICE</stp>
        <tr r="D283" s="2"/>
        <tr r="E283" s="2"/>
        <tr r="B283" s="2"/>
        <tr r="C283" s="2"/>
      </tp>
      <tp>
        <v>2.4173</v>
        <stp/>
        <stp>BDP|8165073758841648260|22</stp>
        <stp>CTVA UN Equity</stp>
        <stp>CHG_PCT_1M_RT</stp>
        <tr r="H127" s="2"/>
      </tp>
      <tp>
        <v>12.8</v>
        <stp/>
        <stp>BDP|17929093689544352539|22</stp>
        <stp>VTRS UW Equity</stp>
        <stp>LAST_PRICE</stp>
        <tr r="C483" s="2"/>
        <tr r="D483" s="2"/>
        <tr r="E483" s="2"/>
        <tr r="B483" s="2"/>
      </tp>
      <tp>
        <v>2.8948999999999998</v>
        <stp/>
        <stp>BDP|9460615383249661024|22</stp>
        <stp>NTAP UW Equity</stp>
        <stp>CHG_PCT_1M_RT</stp>
        <tr r="H347" s="2"/>
      </tp>
      <tp>
        <v>450.68</v>
        <stp/>
        <stp>BDP|14689567358526269393|22</stp>
        <stp>IDXX UW Equity</stp>
        <stp>LAST_PRICE</stp>
        <tr r="C244" s="2"/>
        <tr r="D244" s="2"/>
        <tr r="B244" s="2"/>
        <tr r="E244" s="2"/>
      </tp>
      <tp>
        <v>2.3818000000000001</v>
        <stp/>
        <stp>BDP|9633507975715201035|22</stp>
        <stp>GOOG UW Equity</stp>
        <stp>REALTIME_5_DAY_CHANGE_PERCENT</stp>
        <tr r="G215" s="2"/>
      </tp>
      <tp>
        <v>-0.53890001773834229</v>
        <stp/>
        <stp>BDP|12490975018069945960|22</stp>
        <stp>INDU Index</stp>
        <stp>RT_PX_CHG_PCT_1D</stp>
        <tr r="F3" s="2"/>
      </tp>
      <tp>
        <v>65.89</v>
        <stp/>
        <stp>BDP|377027889660280079|22</stp>
        <stp>GIS UN Equity</stp>
        <stp>LAST_PRICE</stp>
        <tr r="B210" s="2"/>
        <tr r="C210" s="2"/>
        <tr r="D210" s="2"/>
        <tr r="E210" s="2"/>
      </tp>
      <tp>
        <v>1.6309000253677368</v>
        <stp/>
        <stp>BDP|9545045936776735172|22</stp>
        <stp>MU UW Equity</stp>
        <stp>RT_PX_CHG_PCT_1D</stp>
        <tr r="F334" s="2"/>
      </tp>
      <tp>
        <v>10.023999999999999</v>
        <stp/>
        <stp>BDP|3529976332392051634|22</stp>
        <stp>OTIS UN Equity</stp>
        <stp>CHG_PCT_3M_RT</stp>
        <tr r="I362" s="2"/>
      </tp>
      <tp>
        <v>2.9197000000000002</v>
        <stp/>
        <stp>BDP|1060904200629949778|22</stp>
        <stp>GDDY UN Equity</stp>
        <stp>REALTIME_5_DAY_CHANGE_PERCENT</stp>
        <tr r="G204" s="2"/>
      </tp>
      <tp>
        <v>-4.2907000000000002</v>
        <stp/>
        <stp>BDP|1504079081703541470|22</stp>
        <stp>BLDR UN Equity</stp>
        <stp>REALTIME_5_DAY_CHANGE_PERCENT</stp>
        <tr r="G68" s="2"/>
      </tp>
      <tp>
        <v>0.29020000000000001</v>
        <stp/>
        <stp>BDP|9395933364867662186|22</stp>
        <stp>ZBRA UW Equity</stp>
        <stp>REALTIME_5_DAY_CHANGE_PERCENT</stp>
        <tr r="G506" s="2"/>
      </tp>
      <tp>
        <v>1.7303999999999999</v>
        <stp/>
        <stp>BDP|6611208765387395684|22</stp>
        <stp>PARA UW Equity</stp>
        <stp>REALTIME_5_DAY_CHANGE_PERCENT</stp>
        <tr r="G365" s="2"/>
      </tp>
      <tp>
        <v>27.07</v>
        <stp/>
        <stp>BDP|9861750359267486303|22</stp>
        <stp>AVGO UW Equity</stp>
        <stp>CHG_PCT_3M_RT</stp>
        <tr r="I49" s="2"/>
      </tp>
      <tp>
        <v>-1.6738</v>
        <stp/>
        <stp>BDP|3768920025586570454|22</stp>
        <stp>TSCO UW Equity</stp>
        <stp>CHG_PCT_1M_RT</stp>
        <tr r="H455" s="2"/>
      </tp>
      <tp>
        <v>1.8152999999999999</v>
        <stp/>
        <stp>BDP|6321900284843150360|22</stp>
        <stp>TECH UW Equity</stp>
        <stp>REALTIME_5_DAY_CHANGE_PERCENT</stp>
        <tr r="G440" s="2"/>
      </tp>
      <tp>
        <v>80.233000000000004</v>
        <stp/>
        <stp>BDP|8109667260142459016|22</stp>
        <stp>TSLA UW Equity</stp>
        <stp>CHG_PCT_3M_RT</stp>
        <tr r="I456" s="2"/>
      </tp>
      <tp>
        <v>399.26</v>
        <stp/>
        <stp>BDP|341067034586855658|22</stp>
        <stp>CAT UN Equity</stp>
        <stp>LAST_PRICE</stp>
        <tr r="C82" s="2"/>
        <tr r="B82" s="2"/>
        <tr r="D82" s="2"/>
        <tr r="E82" s="2"/>
      </tp>
      <tp>
        <v>-0.79000002145767212</v>
        <stp/>
        <stp>BDP|5511229776409496316|22</stp>
        <stp>BR UN Equity</stp>
        <stp>RT_PX_CHG_PCT_1D</stp>
        <tr r="F71" s="2"/>
      </tp>
      <tp>
        <v>1.4747999906539917</v>
        <stp/>
        <stp>BDP|6643326541677147902|22</stp>
        <stp>LH UN Equity</stp>
        <stp>RT_PX_CHG_PCT_1D</stp>
        <tr r="F285" s="2"/>
      </tp>
      <tp>
        <v>-0.50770002603530884</v>
        <stp/>
        <stp>BDP|4389933873479501321|22</stp>
        <stp>HD UN Equity</stp>
        <stp>RT_PX_CHG_PCT_1D</stp>
        <tr r="F226" s="2"/>
      </tp>
      <tp>
        <v>54.8703</v>
        <stp/>
        <stp>BDP|9896108360176959869|22</stp>
        <stp>BK UN Equity</stp>
        <stp>CHG_PCT_YTD_RT</stp>
        <tr r="J65" s="2"/>
      </tp>
      <tp>
        <v>8.3312000000000008</v>
        <stp/>
        <stp>BDP|13405111557131723042|22</stp>
        <stp>IPSA Index</stp>
        <stp>CHG_PCT_YTD_RT</stp>
        <tr r="J512" s="2"/>
      </tp>
      <tp>
        <v>-1.2546000480651855</v>
        <stp/>
        <stp>BDP|14952955434952430831|22</stp>
        <stp>L UN Equity</stp>
        <stp>RT_PX_CHG_PCT_1D</stp>
        <tr r="F282" s="2"/>
      </tp>
      <tp>
        <v>-1.2188999652862549</v>
        <stp/>
        <stp>BDP|13146331568412245066|22</stp>
        <stp>J UN Equity</stp>
        <stp>RT_PX_CHG_PCT_1D</stp>
        <tr r="F260" s="2"/>
      </tp>
      <tp>
        <v>1.6906000000000001</v>
        <stp/>
        <stp>BDP|9614503456861341544|22</stp>
        <stp>ENPH UQ Equity</stp>
        <stp>REALTIME_5_DAY_CHANGE_PERCENT</stp>
        <tr r="G167" s="2"/>
      </tp>
      <tp>
        <v>-2.2824</v>
        <stp/>
        <stp>BDP|2348504580234621694|22</stp>
        <stp>ANSS UW Equity</stp>
        <stp>REALTIME_5_DAY_CHANGE_PERCENT</stp>
        <tr r="G39" s="2"/>
      </tp>
      <tp>
        <v>-8.4303000000000008</v>
        <stp/>
        <stp>BDP|5901085154815094585|22</stp>
        <stp>NCLH UN Equity</stp>
        <stp>REALTIME_5_DAY_CHANGE_PERCENT</stp>
        <tr r="G335" s="2"/>
      </tp>
      <tp>
        <v>1.8943000000000001</v>
        <stp/>
        <stp>BDP|8621025974462292069|22</stp>
        <stp>STI Index</stp>
        <stp>CHG_PCT_1M_RT</stp>
        <tr r="H537" s="2"/>
      </tp>
      <tp>
        <v>18.940000000000001</v>
        <stp/>
        <stp>BDP|262145083225938533|22</stp>
        <stp>HST UW Equity</stp>
        <stp>LAST_PRICE</stp>
        <tr r="B237" s="2"/>
        <tr r="C237" s="2"/>
        <tr r="E237" s="2"/>
        <tr r="D237" s="2"/>
      </tp>
      <tp>
        <v>-1.4091000556945801</v>
        <stp/>
        <stp>BDP|8011577098845431096|22</stp>
        <stp>BRK/B UN Equity</stp>
        <stp>RT_PX_CHG_PCT_1D</stp>
        <tr r="F72" s="2"/>
      </tp>
      <tp>
        <v>22.267800000000001</v>
        <stp/>
        <stp>BDP|16309558303947890310|22</stp>
        <stp>SPTSX Index</stp>
        <stp>CHG_PCT_YTD_RT</stp>
        <tr r="J509" s="2"/>
      </tp>
      <tp>
        <v>6.5787000000000004</v>
        <stp/>
        <stp>BDP|2051169312895350469|22</stp>
        <stp>CI UN Equity</stp>
        <stp>CHG_PCT_YTD_RT</stp>
        <tr r="J97" s="2"/>
      </tp>
      <tp>
        <v>68.308999999999997</v>
        <stp/>
        <stp>BDP|1408037233954180405|22</stp>
        <stp>GE UN Equity</stp>
        <stp>CHG_PCT_YTD_RT</stp>
        <tr r="J205" s="2"/>
      </tp>
      <tp>
        <v>-7.0164</v>
        <stp/>
        <stp>BDP|3386791086196332269|22</stp>
        <stp>EW UN Equity</stp>
        <stp>CHG_PCT_YTD_RT</stp>
        <tr r="J179" s="2"/>
      </tp>
      <tp>
        <v>2.734</v>
        <stp/>
        <stp>BDP|3721117556420922543|22</stp>
        <stp>OMX Index</stp>
        <stp>REALTIME_5_DAY_CHANGE_PERCENT</stp>
        <tr r="G524" s="2"/>
      </tp>
      <tp>
        <v>4.6105999999999998</v>
        <stp/>
        <stp>BDP|4671989741082991870|22</stp>
        <stp>T UN Equity</stp>
        <stp>CHG_PCT_1M_RT</stp>
        <tr r="H436" s="2"/>
      </tp>
      <tp>
        <v>29.776499999999999</v>
        <stp/>
        <stp>BDP|9679226953217977786|22</stp>
        <stp>PYPL UW Equity</stp>
        <stp>CHG_PCT_3M_RT</stp>
        <tr r="I394" s="2"/>
      </tp>
      <tp>
        <v>-2.1863000000000001</v>
        <stp/>
        <stp>BDP|4837910973698457796|22</stp>
        <stp>FITB UW Equity</stp>
        <stp>REALTIME_5_DAY_CHANGE_PERCENT</stp>
        <tr r="G195" s="2"/>
      </tp>
      <tp>
        <v>8.6976999999999993</v>
        <stp/>
        <stp>BDP|2215824516777763305|22</stp>
        <stp>T UN Equity</stp>
        <stp>CHG_PCT_3M_RT</stp>
        <tr r="I436" s="2"/>
      </tp>
      <tp>
        <v>2.9883999999999999</v>
        <stp/>
        <stp>BDP|6490809735412531269|22</stp>
        <stp>AAPL UW Equity</stp>
        <stp>REALTIME_5_DAY_CHANGE_PERCENT</stp>
        <tr r="G6" s="2"/>
      </tp>
      <tp>
        <v>-10.1495</v>
        <stp/>
        <stp>BDP|5362948514935691945|22</stp>
        <stp>O UN Equity</stp>
        <stp>CHG_PCT_3M_RT</stp>
        <tr r="I355" s="2"/>
      </tp>
      <tp>
        <v>8.4207000000000001</v>
        <stp/>
        <stp>BDP|8444497451750505738|22</stp>
        <stp>PYPL UW Equity</stp>
        <stp>CHG_PCT_1M_RT</stp>
        <tr r="H394" s="2"/>
      </tp>
      <tp>
        <v>4.4183000000000003</v>
        <stp/>
        <stp>BDP|9595185539603393477|22</stp>
        <stp>HSI Index</stp>
        <stp>REALTIME_5_DAY_CHANGE_PERCENT</stp>
        <tr r="G529" s="2"/>
      </tp>
      <tp>
        <v>81.510000000000005</v>
        <stp/>
        <stp>BDP|14587173192833434838|22</stp>
        <stp>SCHW UN Equity</stp>
        <stp>LAST_PRICE</stp>
        <tr r="B413" s="2"/>
        <tr r="C413" s="2"/>
        <tr r="D413" s="2"/>
        <tr r="E413" s="2"/>
      </tp>
      <tp>
        <v>0.54779999999999995</v>
        <stp/>
        <stp>BDP|8653071466531117619|22</stp>
        <stp>KEYS UN Equity</stp>
        <stp>REALTIME_5_DAY_CHANGE_PERCENT</stp>
        <tr r="G271" s="2"/>
      </tp>
      <tp>
        <v>-2.0510000000000002</v>
        <stp/>
        <stp>BDP|5325266344674526748|22</stp>
        <stp>KLAC UW Equity</stp>
        <stp>REALTIME_5_DAY_CHANGE_PERCENT</stp>
        <tr r="G275" s="2"/>
      </tp>
      <tp>
        <v>61.77</v>
        <stp/>
        <stp>BDP|14404413975225688927|22</stp>
        <stp>CPRT UW Equity</stp>
        <stp>LAST_PRICE</stp>
        <tr r="B115" s="2"/>
        <tr r="E115" s="2"/>
        <tr r="C115" s="2"/>
        <tr r="D115" s="2"/>
      </tp>
      <tp>
        <v>-0.48959999999999998</v>
        <stp/>
        <stp>BDP|1131095512471171637|22</stp>
        <stp>JKHY UW Equity</stp>
        <stp>REALTIME_5_DAY_CHANGE_PERCENT</stp>
        <tr r="G264" s="2"/>
      </tp>
      <tp>
        <v>1.2883</v>
        <stp/>
        <stp>BDP|4765630308146452567|22</stp>
        <stp>RVTY UN Equity</stp>
        <stp>CHG_PCT_3M_RT</stp>
        <tr r="I410" s="2"/>
      </tp>
      <tp>
        <v>-3.6739999999999999</v>
        <stp/>
        <stp>BDP|1995851181815713544|22</stp>
        <stp>KVUE UN Equity</stp>
        <stp>CHG_PCT_1M_RT</stp>
        <tr r="H281" s="2"/>
      </tp>
      <tp>
        <v>100.87</v>
        <stp/>
        <stp>BDP|12533682138046773541|22</stp>
        <stp>OTIS UN Equity</stp>
        <stp>LAST_PRICE</stp>
        <tr r="E362" s="2"/>
        <tr r="B362" s="2"/>
        <tr r="C362" s="2"/>
        <tr r="D362" s="2"/>
      </tp>
      <tp>
        <v>22.3</v>
        <stp/>
        <stp>BDP|566629534854673846|22</stp>
        <stp>BEN UN Equity</stp>
        <stp>LAST_PRICE</stp>
        <tr r="C61" s="2"/>
        <tr r="D61" s="2"/>
        <tr r="E61" s="2"/>
        <tr r="B61" s="2"/>
      </tp>
      <tp>
        <v>0.11190000176429749</v>
        <stp/>
        <stp>BDP|4966519993037751067|22</stp>
        <stp>KO UN Equity</stp>
        <stp>RT_PX_CHG_PCT_1D</stp>
        <tr r="F279" s="2"/>
      </tp>
      <tp>
        <v>4.1882000000000001</v>
        <stp/>
        <stp>BDP|5748416323980951193|22</stp>
        <stp>ED UN Equity</stp>
        <stp>CHG_PCT_YTD_RT</stp>
        <tr r="J159" s="2"/>
      </tp>
      <tp>
        <v>52.732599999999998</v>
        <stp/>
        <stp>BDP|9231514619163530144|22</stp>
        <stp>FI UN Equity</stp>
        <stp>CHG_PCT_YTD_RT</stp>
        <tr r="J192" s="2"/>
      </tp>
      <tp>
        <v>71.86</v>
        <stp/>
        <stp>BDP|656748713124900689|22</stp>
        <stp>C UN Equity</stp>
        <stp>LAST_PRICE</stp>
        <tr r="B78" s="2"/>
        <tr r="C78" s="2"/>
        <tr r="D78" s="2"/>
        <tr r="E78" s="2"/>
      </tp>
      <tp>
        <v>-7.0204000000000004</v>
        <stp/>
        <stp>BDP|5963273223466806855|22</stp>
        <stp>J UN Equity</stp>
        <stp>CHG_PCT_1M_RT</stp>
        <tr r="H260" s="2"/>
      </tp>
      <tp>
        <v>-3.0312000000000001</v>
        <stp/>
        <stp>BDP|6661977245191601443|22</stp>
        <stp>NXPI UW Equity</stp>
        <stp>CHG_PCT_3M_RT</stp>
        <tr r="I354" s="2"/>
      </tp>
      <tp>
        <v>5.5448000000000004</v>
        <stp/>
        <stp>BDP|5605773698152946645|22</stp>
        <stp>JCI Index</stp>
        <stp>REALTIME_5_DAY_CHANGE_PERCENT</stp>
        <tr r="G535" s="2"/>
      </tp>
      <tp>
        <v>7.2991000000000001</v>
        <stp/>
        <stp>BDP|8376681898297057098|22</stp>
        <stp>AMZN UW Equity</stp>
        <stp>REALTIME_5_DAY_CHANGE_PERCENT</stp>
        <tr r="G37" s="2"/>
      </tp>
      <tp>
        <v>10.774800000000001</v>
        <stp/>
        <stp>BDP|4981559229084638248|22</stp>
        <stp>MSCI UN Equity</stp>
        <stp>CHG_PCT_3M_RT</stp>
        <tr r="I328" s="2"/>
      </tp>
      <tp>
        <v>57.67</v>
        <stp/>
        <stp>BDP|13334133961500273919|22</stp>
        <stp>BALL UN Equity</stp>
        <stp>LAST_PRICE</stp>
        <tr r="C57" s="2"/>
        <tr r="D57" s="2"/>
        <tr r="E57" s="2"/>
        <tr r="B57" s="2"/>
      </tp>
      <tp>
        <v>0.73360000000000003</v>
        <stp/>
        <stp>BDP|2590935298404774717|22</stp>
        <stp>ALLE UN Equity</stp>
        <stp>REALTIME_5_DAY_CHANGE_PERCENT</stp>
        <tr r="G28" s="2"/>
      </tp>
      <tp>
        <v>-1.194</v>
        <stp/>
        <stp>BDP|8632917519177328343|22</stp>
        <stp>QRVO UW Equity</stp>
        <stp>CHG_PCT_1M_RT</stp>
        <tr r="H396" s="2"/>
      </tp>
      <tp>
        <v>42.6464</v>
        <stp/>
        <stp>BDP|6872875833423474015|22</stp>
        <stp>EXPE UW Equity</stp>
        <stp>CHG_PCT_3M_RT</stp>
        <tr r="I182" s="2"/>
      </tp>
      <tp>
        <v>200.46</v>
        <stp/>
        <stp>BDP|17004610531881139556|22</stp>
        <stp>VRSN UW Equity</stp>
        <stp>LAST_PRICE</stp>
        <tr r="B479" s="2"/>
        <tr r="E479" s="2"/>
        <tr r="C479" s="2"/>
        <tr r="D479" s="2"/>
      </tp>
      <tp>
        <v>12.4053</v>
        <stp/>
        <stp>BDP|3313638058425784062|22</stp>
        <stp>ISRG UW Equity</stp>
        <stp>CHG_PCT_3M_RT</stp>
        <tr r="I256" s="2"/>
      </tp>
      <tp>
        <v>-0.5141</v>
        <stp/>
        <stp>BDP|8948181827169793015|22</stp>
        <stp>PODD UW Equity</stp>
        <stp>REALTIME_5_DAY_CHANGE_PERCENT</stp>
        <tr r="G385" s="2"/>
      </tp>
      <tp>
        <v>76.346800000000002</v>
        <stp/>
        <stp>BDP|8664711218895950583|22</stp>
        <stp>AXON UW Equity</stp>
        <stp>CHG_PCT_3M_RT</stp>
        <tr r="I52" s="2"/>
      </tp>
      <tp>
        <v>0.1125</v>
        <stp/>
        <stp>BDP|2765624023887971020|22</stp>
        <stp>VLTO UN Equity</stp>
        <stp>REALTIME_5_DAY_CHANGE_PERCENT</stp>
        <tr r="G476" s="2"/>
      </tp>
      <tp>
        <v>43.11</v>
        <stp/>
        <stp>BDP|295506634505545765|22</stp>
        <stp>CPB UW Equity</stp>
        <stp>LAST_PRICE</stp>
        <tr r="C114" s="2"/>
        <tr r="B114" s="2"/>
        <tr r="D114" s="2"/>
        <tr r="E114" s="2"/>
      </tp>
      <tp>
        <v>18.276599999999998</v>
        <stp/>
        <stp>BDP|12570721890295259651|22</stp>
        <stp>D UN Equity</stp>
        <stp>CHG_PCT_YTD_RT</stp>
        <tr r="J131" s="2"/>
      </tp>
      <tp>
        <v>201.74</v>
        <stp/>
        <stp>BDP|722789831001685751|22</stp>
        <stp>DOV UN Equity</stp>
        <stp>LAST_PRICE</stp>
        <tr r="B147" s="2"/>
        <tr r="E147" s="2"/>
        <tr r="C147" s="2"/>
        <tr r="D147" s="2"/>
      </tp>
      <tp>
        <v>-1.0619000196456909</v>
        <stp/>
        <stp>BDP|6044274796501258089|22</stp>
        <stp>MS UN Equity</stp>
        <stp>RT_PX_CHG_PCT_1D</stp>
        <tr r="F327" s="2"/>
      </tp>
      <tp>
        <v>46.742800000000003</v>
        <stp/>
        <stp>BDP|6033134210937953204|22</stp>
        <stp>GM UN Equity</stp>
        <stp>CHG_PCT_YTD_RT</stp>
        <tr r="J213" s="2"/>
      </tp>
      <tp>
        <v>37.8874</v>
        <stp/>
        <stp>BDP|1961064768052048584|22</stp>
        <stp>MS UN Equity</stp>
        <stp>CHG_PCT_YTD_RT</stp>
        <tr r="J327" s="2"/>
      </tp>
      <tp>
        <v>187.9</v>
        <stp/>
        <stp>BDP|17358428823932645171|22</stp>
        <stp>TTWO UW Equity</stp>
        <stp>LAST_PRICE</stp>
        <tr r="E459" s="2"/>
        <tr r="B459" s="2"/>
        <tr r="C459" s="2"/>
        <tr r="D459" s="2"/>
      </tp>
      <tp>
        <v>11.17</v>
        <stp/>
        <stp>BDP|10278485152828872867|22</stp>
        <stp>PARA UW Equity</stp>
        <stp>LAST_PRICE</stp>
        <tr r="B365" s="2"/>
        <tr r="C365" s="2"/>
        <tr r="D365" s="2"/>
        <tr r="E365" s="2"/>
      </tp>
      <tp>
        <v>4.6219999999999999</v>
        <stp/>
        <stp>BDP|8033154892363856963|22</stp>
        <stp>IDXX UW Equity</stp>
        <stp>REALTIME_5_DAY_CHANGE_PERCENT</stp>
        <tr r="G244" s="2"/>
      </tp>
      <tp>
        <v>-3.1027</v>
        <stp/>
        <stp>BDP|6482596806307120190|22</stp>
        <stp>D UN Equity</stp>
        <stp>CHG_PCT_3M_RT</stp>
        <tr r="I131" s="2"/>
      </tp>
      <tp>
        <v>1.8459000000000001</v>
        <stp/>
        <stp>BDP|6694958642639420499|22</stp>
        <stp>CHRW UW Equity</stp>
        <stp>REALTIME_5_DAY_CHANGE_PERCENT</stp>
        <tr r="G95" s="2"/>
      </tp>
      <tp>
        <v>99.31</v>
        <stp/>
        <stp>BDP|97384958723307305|22</stp>
        <stp>SBUX UW Equity</stp>
        <stp>LAST_PRICE</stp>
        <tr r="C412" s="2"/>
        <tr r="D412" s="2"/>
        <tr r="E412" s="2"/>
        <tr r="B412" s="2"/>
      </tp>
      <tp>
        <v>-5.8102</v>
        <stp/>
        <stp>BDP|9812415131963324783|22</stp>
        <stp>MDLZ UW Equity</stp>
        <stp>REALTIME_5_DAY_CHANGE_PERCENT</stp>
        <tr r="G308" s="2"/>
      </tp>
      <tp>
        <v>1.2152000000000001</v>
        <stp/>
        <stp>BDP|2488216416947207381|22</stp>
        <stp>AKAM UW Equity</stp>
        <stp>REALTIME_5_DAY_CHANGE_PERCENT</stp>
        <tr r="G24" s="2"/>
      </tp>
      <tp>
        <v>72.459999999999994</v>
        <stp/>
        <stp>BDP|14575537294300661327|22</stp>
        <stp>PLTR UQ Equity</stp>
        <stp>LAST_PRICE</stp>
        <tr r="C380" s="2"/>
        <tr r="D380" s="2"/>
        <tr r="E380" s="2"/>
        <tr r="B380" s="2"/>
      </tp>
      <tp>
        <v>247.86</v>
        <stp/>
        <stp>BDP|661093955178836427|22</stp>
        <stp>PGR UN Equity</stp>
        <stp>LAST_PRICE</stp>
        <tr r="D375" s="2"/>
        <tr r="E375" s="2"/>
        <tr r="B375" s="2"/>
        <tr r="C375" s="2"/>
      </tp>
      <tp>
        <v>4.7064000000000004</v>
        <stp/>
        <stp>BDP|2542247891161047424|22</stp>
        <stp>C UN Equity</stp>
        <stp>CHG_PCT_1M_RT</stp>
        <tr r="H78" s="2"/>
      </tp>
      <tp>
        <v>36.142699999999998</v>
        <stp/>
        <stp>BDP|1393678268583525439|22</stp>
        <stp>ORCL UN Equity</stp>
        <stp>CHG_PCT_3M_RT</stp>
        <tr r="I360" s="2"/>
      </tp>
      <tp>
        <v>-2.7824</v>
        <stp/>
        <stp>BDP|9216613571926667811|22</stp>
        <stp>TRGP UN Equity</stp>
        <stp>CHG_PCT_1M_RT</stp>
        <tr r="H451" s="2"/>
      </tp>
      <tp>
        <v>0.14349999999999999</v>
        <stp/>
        <stp>BDP|1979708947266074900|22</stp>
        <stp>SBAC UW Equity</stp>
        <stp>REALTIME_5_DAY_CHANGE_PERCENT</stp>
        <tr r="G411" s="2"/>
      </tp>
      <tp>
        <v>-2.8121</v>
        <stp/>
        <stp>BDP|6530993235748270941|22</stp>
        <stp>HBAN UW Equity</stp>
        <stp>REALTIME_5_DAY_CHANGE_PERCENT</stp>
        <tr r="G224" s="2"/>
      </tp>
      <tp>
        <v>29.214400000000001</v>
        <stp/>
        <stp>BDP|4725830520559455760|22</stp>
        <stp>FTNT UW Equity</stp>
        <stp>CHG_PCT_3M_RT</stp>
        <tr r="I201" s="2"/>
      </tp>
      <tp>
        <v>9.9329999999999998</v>
        <stp/>
        <stp>BDP|9573862750941735296|22</stp>
        <stp>MSFT UW Equity</stp>
        <stp>CHG_PCT_3M_RT</stp>
        <tr r="I329" s="2"/>
      </tp>
      <tp>
        <v>2.9753000736236572</v>
        <stp/>
        <stp>BDP|1620481285097422260|22</stp>
        <stp>EL UN Equity</stp>
        <stp>RT_PX_CHG_PCT_1D</stp>
        <tr r="F163" s="2"/>
      </tp>
      <tp>
        <v>0.42160001397132874</v>
        <stp/>
        <stp>BDP|4659139782733643582|22</stp>
        <stp>CI UN Equity</stp>
        <stp>RT_PX_CHG_PCT_1D</stp>
        <tr r="F97" s="2"/>
      </tp>
      <tp>
        <v>-1.0878000259399414</v>
        <stp/>
        <stp>BDP|6017494927383297750|22</stp>
        <stp>MA UN Equity</stp>
        <stp>RT_PX_CHG_PCT_1D</stp>
        <tr r="F300" s="2"/>
      </tp>
      <tp>
        <v>-40.566400000000002</v>
        <stp/>
        <stp>BDP|3916283637223102735|22</stp>
        <stp>DG UN Equity</stp>
        <stp>CHG_PCT_YTD_RT</stp>
        <tr r="J139" s="2"/>
      </tp>
      <tp>
        <v>3.3113999999999999</v>
        <stp/>
        <stp>BDP|1315693622450572302|22</stp>
        <stp>ANET UN Equity</stp>
        <stp>REALTIME_5_DAY_CHANGE_PERCENT</stp>
        <tr r="G38" s="2"/>
      </tp>
      <tp>
        <v>5.9241000000000001</v>
        <stp/>
        <stp>BDP|1897491804766675432|22</stp>
        <stp>CTSH UW Equity</stp>
        <stp>CHG_PCT_3M_RT</stp>
        <tr r="I126" s="2"/>
      </tp>
      <tp>
        <v>411.23</v>
        <stp/>
        <stp>BDP|18049578002644280372|22</stp>
        <stp>ZBRA UW Equity</stp>
        <stp>LAST_PRICE</stp>
        <tr r="D506" s="2"/>
        <tr r="E506" s="2"/>
        <tr r="B506" s="2"/>
        <tr r="C506" s="2"/>
      </tp>
      <tp>
        <v>-2.3881999999999999</v>
        <stp/>
        <stp>BDP|9073385768653551332|22</stp>
        <stp>NDAQ UW Equity</stp>
        <stp>REALTIME_5_DAY_CHANGE_PERCENT</stp>
        <tr r="G336" s="2"/>
      </tp>
      <tp>
        <v>8.8401999999999994</v>
        <stp/>
        <stp>BDP|7411359435801878662|22</stp>
        <stp>HSIC UW Equity</stp>
        <stp>CHG_PCT_3M_RT</stp>
        <tr r="I236" s="2"/>
      </tp>
      <tp>
        <v>240.97</v>
        <stp/>
        <stp>BDP|17716990879579902985|22</stp>
        <stp>MKTX UW Equity</stp>
        <stp>LAST_PRICE</stp>
        <tr r="D315" s="2"/>
        <tr r="E315" s="2"/>
        <tr r="B315" s="2"/>
        <tr r="C315" s="2"/>
      </tp>
      <tp>
        <v>108.6</v>
        <stp/>
        <stp>BDP|12078399356558920768|22</stp>
        <stp>NTRS UW Equity</stp>
        <stp>LAST_PRICE</stp>
        <tr r="C348" s="2"/>
        <tr r="D348" s="2"/>
        <tr r="E348" s="2"/>
        <tr r="B348" s="2"/>
      </tp>
      <tp>
        <v>209.04</v>
        <stp/>
        <stp>BDP|287103371585376667|22</stp>
        <stp>AMT UN Equity</stp>
        <stp>LAST_PRICE</stp>
        <tr r="E35" s="2"/>
        <tr r="B35" s="2"/>
        <tr r="C35" s="2"/>
        <tr r="D35" s="2"/>
      </tp>
      <tp>
        <v>-0.24879999458789825</v>
        <stp/>
        <stp>BDP|1633032779789506573|22</stp>
        <stp>CF UN Equity</stp>
        <stp>RT_PX_CHG_PCT_1D</stp>
        <tr r="F92" s="2"/>
      </tp>
      <tp>
        <v>-2.1243000030517578</v>
        <stp/>
        <stp>BDP|4753007686193623596|22</stp>
        <stp>WM UN Equity</stp>
        <stp>RT_PX_CHG_PCT_1D</stp>
        <tr r="F493" s="2"/>
      </tp>
      <tp>
        <v>-1.3106000423431396</v>
        <stp/>
        <stp>BDP|2900867950495435053|22</stp>
        <stp>GM UN Equity</stp>
        <stp>RT_PX_CHG_PCT_1D</stp>
        <tr r="F213" s="2"/>
      </tp>
      <tp>
        <v>1.218500018119812</v>
        <stp/>
        <stp>BDP|2537240828509110165|22</stp>
        <stp>DE UN Equity</stp>
        <stp>RT_PX_CHG_PCT_1D</stp>
        <tr r="F135" s="2"/>
      </tp>
      <tp>
        <v>-0.25839999318122864</v>
        <stp/>
        <stp>BDP|13316750682744636282|22</stp>
        <stp>SPTSX Index</stp>
        <stp>RT_PX_CHG_PCT_1D</stp>
        <tr r="F509" s="2"/>
      </tp>
      <tp>
        <v>-2.3600000888109207E-2</v>
        <stp/>
        <stp>BDP|2530714321238961528|22</stp>
        <stp>VZ UN Equity</stp>
        <stp>RT_PX_CHG_PCT_1D</stp>
        <tr r="F484" s="2"/>
      </tp>
      <tp>
        <v>1.6129000186920166</v>
        <stp/>
        <stp>BDP|2003234323096577679|22</stp>
        <stp>MEXBOL Index</stp>
        <stp>RT_PX_CHG_PCT_1D</stp>
        <tr r="F510" s="2"/>
      </tp>
      <tp>
        <v>-53.3887</v>
        <stp/>
        <stp>BDP|7834723037122866646|22</stp>
        <stp>CE UN Equity</stp>
        <stp>CHG_PCT_YTD_RT</stp>
        <tr r="J90" s="2"/>
      </tp>
      <tp>
        <v>12.388999999999999</v>
        <stp/>
        <stp>BDP|4337602217723400408|22</stp>
        <stp>DE UN Equity</stp>
        <stp>CHG_PCT_YTD_RT</stp>
        <tr r="J135" s="2"/>
      </tp>
      <tp>
        <v>14.0387</v>
        <stp/>
        <stp>BDP|6609806460327115241|22</stp>
        <stp>IT UN Equity</stp>
        <stp>CHG_PCT_YTD_RT</stp>
        <tr r="J257" s="2"/>
      </tp>
      <tp>
        <v>-27.073799999999999</v>
        <stp/>
        <stp>BDP|2029148181579210060|22</stp>
        <stp>MPWR UW Equity</stp>
        <stp>CHG_PCT_3M_RT</stp>
        <tr r="I324" s="2"/>
      </tp>
      <tp>
        <v>10.4511</v>
        <stp/>
        <stp>BDP|7904946109568429317|22</stp>
        <stp>NWSA UW Equity</stp>
        <stp>CHG_PCT_3M_RT</stp>
        <tr r="I353" s="2"/>
      </tp>
      <tp>
        <v>19.597000000000001</v>
        <stp/>
        <stp>BDP|5741776137791438753|22</stp>
        <stp>HUBB UN Equity</stp>
        <stp>CHG_PCT_3M_RT</stp>
        <tr r="I239" s="2"/>
      </tp>
      <tp>
        <v>-1.1720999999999999</v>
        <stp/>
        <stp>BDP|9273821051441120747|22</stp>
        <stp>CPAY UN Equity</stp>
        <stp>CHG_PCT_1M_RT</stp>
        <tr r="H113" s="2"/>
      </tp>
      <tp>
        <v>10.0677</v>
        <stp/>
        <stp>BDP|8162270059465218819|22</stp>
        <stp>CPRT UW Equity</stp>
        <stp>CHG_PCT_1M_RT</stp>
        <tr r="H115" s="2"/>
      </tp>
      <tp>
        <v>1.9730000000000001</v>
        <stp/>
        <stp>BDP|6069714068277524701|22</stp>
        <stp>INTU UW Equity</stp>
        <stp>REALTIME_5_DAY_CHANGE_PERCENT</stp>
        <tr r="G249" s="2"/>
      </tp>
      <tp>
        <v>-13.038</v>
        <stp/>
        <stp>BDP|4397664442608994907|22</stp>
        <stp>INTC UW Equity</stp>
        <stp>REALTIME_5_DAY_CHANGE_PERCENT</stp>
        <tr r="G248" s="2"/>
      </tp>
      <tp>
        <v>-1.78</v>
        <stp/>
        <stp>BDP|2165488143390277605|22</stp>
        <stp>RVTY UN Equity</stp>
        <stp>CHG_PCT_1M_RT</stp>
        <tr r="H410" s="2"/>
      </tp>
      <tp>
        <v>10.199999999999999</v>
        <stp/>
        <stp>BDP|11166676441461638286|22</stp>
        <stp>AMCR UN Equity</stp>
        <stp>LAST_PRICE</stp>
        <tr r="B30" s="2"/>
        <tr r="C30" s="2"/>
        <tr r="D30" s="2"/>
        <tr r="E30" s="2"/>
      </tp>
      <tp>
        <v>30.3748</v>
        <stp/>
        <stp>BDP|3882489747201893630|22</stp>
        <stp>NVDA UW Equity</stp>
        <stp>CHG_PCT_3M_RT</stp>
        <tr r="I350" s="2"/>
      </tp>
      <tp>
        <v>5.1429</v>
        <stp/>
        <stp>BDP|3894045701131222665|22</stp>
        <stp>SMCI UW Equity</stp>
        <stp>REALTIME_5_DAY_CHANGE_PERCENT</stp>
        <tr r="G417" s="2"/>
      </tp>
      <tp>
        <v>-2.0183000564575195</v>
        <stp/>
        <stp>BDP|6710292393286161633|22</stp>
        <stp>RF UN Equity</stp>
        <stp>RT_PX_CHG_PCT_1D</stp>
        <tr r="F400" s="2"/>
      </tp>
      <tp>
        <v>-0.9682999849319458</v>
        <stp/>
        <stp>BDP|7616582253737735658|22</stp>
        <stp>DG UN Equity</stp>
        <stp>RT_PX_CHG_PCT_1D</stp>
        <tr r="F139" s="2"/>
      </tp>
      <tp>
        <v>35.254800000000003</v>
        <stp/>
        <stp>BDP|55821149676567826|22</stp>
        <stp>DECK UN Equity</stp>
        <stp>CHG_PCT_3M_RT</stp>
        <tr r="I136" s="2"/>
      </tp>
      <tp>
        <v>-0.40189999341964722</v>
        <stp/>
        <stp>BDP|14037925597553699840|22</stp>
        <stp>C UN Equity</stp>
        <stp>RT_PX_CHG_PCT_1D</stp>
        <tr r="F78" s="2"/>
      </tp>
      <tp>
        <v>46.53</v>
        <stp/>
        <stp>BDP|14892050218857298533|22</stp>
        <stp>FITB UW Equity</stp>
        <stp>LAST_PRICE</stp>
        <tr r="E195" s="2"/>
        <tr r="B195" s="2"/>
        <tr r="C195" s="2"/>
        <tr r="D195" s="2"/>
      </tp>
      <tp>
        <v>9.2067999999999994</v>
        <stp/>
        <stp>BDP|7741276873457682640|22</stp>
        <stp>VRSN UW Equity</stp>
        <stp>CHG_PCT_1M_RT</stp>
        <tr r="H479" s="2"/>
      </tp>
      <tp>
        <v>-3.5005000000000002</v>
        <stp/>
        <stp>BDP|7521159735170875257|22</stp>
        <stp>AMCR UN Equity</stp>
        <stp>REALTIME_5_DAY_CHANGE_PERCENT</stp>
        <tr r="G30" s="2"/>
      </tp>
      <tp>
        <v>-3.0937999999999999</v>
        <stp/>
        <stp>BDP|8304697416304699015|22</stp>
        <stp>PAYX UW Equity</stp>
        <stp>REALTIME_5_DAY_CHANGE_PERCENT</stp>
        <tr r="G367" s="2"/>
      </tp>
      <tp>
        <v>5.6211000000000002</v>
        <stp/>
        <stp>BDP|9402797556896046856|22</stp>
        <stp>TTWO UW Equity</stp>
        <stp>CHG_PCT_1M_RT</stp>
        <tr r="H459" s="2"/>
      </tp>
      <tp>
        <v>-3.3727999999999998</v>
        <stp/>
        <stp>BDP|1273504220933519201|22</stp>
        <stp>F UN Equity</stp>
        <stp>CHG_PCT_1M_RT</stp>
        <tr r="H184" s="2"/>
      </tp>
      <tp>
        <v>-4.1435000000000004</v>
        <stp/>
        <stp>BDP|5946980296575381380|22</stp>
        <stp>ERIE UW Equity</stp>
        <stp>CHG_PCT_1M_RT</stp>
        <tr r="H173" s="2"/>
      </tp>
      <tp>
        <v>-2.5594000000000001</v>
        <stp/>
        <stp>BDP|7691165973326752063|22</stp>
        <stp>AVGO UW Equity</stp>
        <stp>CHG_PCT_1M_RT</stp>
        <tr r="H49" s="2"/>
      </tp>
      <tp>
        <v>-1.681</v>
        <stp/>
        <stp>BDP|8991732680349760958|22</stp>
        <stp>KVUE UN Equity</stp>
        <stp>CHG_PCT_3M_RT</stp>
        <tr r="I281" s="2"/>
      </tp>
      <tp>
        <v>-6.9337</v>
        <stp/>
        <stp>BDP|8909253566090235933|22</stp>
        <stp>STLD UW Equity</stp>
        <stp>CHG_PCT_1M_RT</stp>
        <tr r="H426" s="2"/>
      </tp>
      <tp>
        <v>140.94999999999999</v>
        <stp/>
        <stp>BDP|10165918575917816745|22</stp>
        <stp>PAYX UW Equity</stp>
        <stp>LAST_PRICE</stp>
        <tr r="D367" s="2"/>
        <tr r="E367" s="2"/>
        <tr r="B367" s="2"/>
        <tr r="C367" s="2"/>
      </tp>
      <tp>
        <v>-4.0503</v>
        <stp/>
        <stp>BDP|7528650367274927841|22</stp>
        <stp>CARR UN Equity</stp>
        <stp>REALTIME_5_DAY_CHANGE_PERCENT</stp>
        <tr r="G81" s="2"/>
      </tp>
      <tp>
        <v>53.21</v>
        <stp/>
        <stp>BDP|12762963643454746466|22</stp>
        <stp>MNST UW Equity</stp>
        <stp>LAST_PRICE</stp>
        <tr r="D319" s="2"/>
        <tr r="E319" s="2"/>
        <tr r="B319" s="2"/>
        <tr r="C319" s="2"/>
      </tp>
      <tp>
        <v>176.89</v>
        <stp/>
        <stp>BDP|13424774058399765517|22</stp>
        <stp>BLDR UN Equity</stp>
        <stp>LAST_PRICE</stp>
        <tr r="D68" s="2"/>
        <tr r="E68" s="2"/>
        <tr r="B68" s="2"/>
        <tr r="C68" s="2"/>
      </tp>
      <tp>
        <v>2.5399999693036079E-2</v>
        <stp/>
        <stp>BDP|13010993127660947727|22</stp>
        <stp>AS51 Index</stp>
        <stp>RT_PX_CHG_PCT_1D</stp>
        <tr r="F531" s="2"/>
      </tp>
      <tp>
        <v>-0.56629997491836548</v>
        <stp/>
        <stp>BDP|8332619288045456426|22</stp>
        <stp>IT UN Equity</stp>
        <stp>RT_PX_CHG_PCT_1D</stp>
        <tr r="F257" s="2"/>
      </tp>
      <tp>
        <v>0.25420001149177551</v>
        <stp/>
        <stp>BDP|7875134518354601698|22</stp>
        <stp>IR UN Equity</stp>
        <stp>RT_PX_CHG_PCT_1D</stp>
        <tr r="F254" s="2"/>
      </tp>
      <tp>
        <v>7.9443999999999999</v>
        <stp/>
        <stp>BDP|4374800742735518524|22</stp>
        <stp>V UN Equity</stp>
        <stp>CHG_PCT_3M_RT</stp>
        <tr r="I473" s="2"/>
      </tp>
      <tp>
        <v>0.98219999999999996</v>
        <stp/>
        <stp>BDP|7537675148334107141|22</stp>
        <stp>UKX Index</stp>
        <stp>CHG_PCT_3M_RT</stp>
        <tr r="I518" s="2"/>
      </tp>
      <tp>
        <v>24.989899999999999</v>
        <stp/>
        <stp>BDP|7585191159842390163|22</stp>
        <stp>CPRT UW Equity</stp>
        <stp>CHG_PCT_3M_RT</stp>
        <tr r="I115" s="2"/>
      </tp>
      <tp>
        <v>4.2797999999999998</v>
        <stp/>
        <stp>BDP|8743111412504745255|22</stp>
        <stp>A UN Equity</stp>
        <stp>CHG_PCT_3M_RT</stp>
        <tr r="I5" s="2"/>
      </tp>
      <tp>
        <v>353.6</v>
        <stp/>
        <stp>BDP|15615718670752767469|22</stp>
        <stp>CRWD UW Equity</stp>
        <stp>LAST_PRICE</stp>
        <tr r="B119" s="2"/>
        <tr r="E119" s="2"/>
        <tr r="C119" s="2"/>
        <tr r="D119" s="2"/>
      </tp>
      <tp>
        <v>-8.2126000000000001</v>
        <stp/>
        <stp>BDP|1466804336295936505|22</stp>
        <stp>BALL UN Equity</stp>
        <stp>REALTIME_5_DAY_CHANGE_PERCENT</stp>
        <tr r="G57" s="2"/>
      </tp>
      <tp>
        <v>-0.64900000000000002</v>
        <stp/>
        <stp>BDP|6054644227846985169|22</stp>
        <stp>INVH UN Equity</stp>
        <stp>REALTIME_5_DAY_CHANGE_PERCENT</stp>
        <tr r="G250" s="2"/>
      </tp>
      <tp>
        <v>24.743200000000002</v>
        <stp/>
        <stp>BDP|8265223283649790259|22</stp>
        <stp>WYNN UW Equity</stp>
        <stp>CHG_PCT_3M_RT</stp>
        <tr r="I500" s="2"/>
      </tp>
      <tp>
        <v>39.2729</v>
        <stp/>
        <stp>BDP|11868006118383144851|22</stp>
        <stp>T UN Equity</stp>
        <stp>CHG_PCT_YTD_RT</stp>
        <tr r="J436" s="2"/>
      </tp>
      <tp>
        <v>0.61909997463226318</v>
        <stp/>
        <stp>BDP|8383747189656340608|22</stp>
        <stp>LW UN Equity</stp>
        <stp>RT_PX_CHG_PCT_1D</stp>
        <tr r="F297" s="2"/>
      </tp>
      <tp>
        <v>0.78619998693466187</v>
        <stp/>
        <stp>BDP|3075094911378766825|22</stp>
        <stp>ES UN Equity</stp>
        <stp>RT_PX_CHG_PCT_1D</stp>
        <tr r="F174" s="2"/>
      </tp>
      <tp>
        <v>26.383700000000001</v>
        <stp/>
        <stp>BDP|6303514984522723200|22</stp>
        <stp>KR UN Equity</stp>
        <stp>CHG_PCT_YTD_RT</stp>
        <tr r="J280" s="2"/>
      </tp>
      <tp>
        <v>87.9</v>
        <stp/>
        <stp>BDP|14773455481950152965|22</stp>
        <stp>PEG UN Equity</stp>
        <stp>LAST_PRICE</stp>
        <tr r="E370" s="2"/>
        <tr r="B370" s="2"/>
        <tr r="C370" s="2"/>
        <tr r="D370" s="2"/>
      </tp>
      <tp>
        <v>1.8365</v>
        <stp/>
        <stp>BDP|16454022494207196829|22</stp>
        <stp>PG UN Equity</stp>
        <stp>CHG_PCT_1M_RT</stp>
        <tr r="H374" s="2"/>
      </tp>
      <tp>
        <v>35.8491</v>
        <stp/>
        <stp>BDP|333609608787768003|22</stp>
        <stp>HBAN UW Equity</stp>
        <stp>CHG_PCT_YTD_RT</stp>
        <tr r="J224" s="2"/>
      </tp>
      <tp>
        <v>354.6</v>
        <stp/>
        <stp>BDP|11941139815829420265|22</stp>
        <stp>SNA UN Equity</stp>
        <stp>LAST_PRICE</stp>
        <tr r="E418" s="2"/>
        <tr r="B418" s="2"/>
        <tr r="C418" s="2"/>
        <tr r="D418" s="2"/>
      </tp>
      <tp>
        <v>-6.1121001243591309</v>
        <stp/>
        <stp>BDP|7862793475231014930|22</stp>
        <stp>NCLH UN Equity</stp>
        <stp>RT_PX_CHG_PCT_1D</stp>
        <tr r="F335" s="2"/>
      </tp>
      <tp>
        <v>-0.6380000114440918</v>
        <stp/>
        <stp>BDP|2989401271169221429|22</stp>
        <stp>CARR UN Equity</stp>
        <stp>RT_PX_CHG_PCT_1D</stp>
        <tr r="F81" s="2"/>
      </tp>
      <tp>
        <v>18.54</v>
        <stp/>
        <stp>BDP|12489485543792569144|22</stp>
        <stp>KEY UN Equity</stp>
        <stp>LAST_PRICE</stp>
        <tr r="B270" s="2"/>
        <tr r="E270" s="2"/>
        <tr r="C270" s="2"/>
        <tr r="D270" s="2"/>
      </tp>
      <tp>
        <v>-2.252000093460083</v>
        <stp/>
        <stp>BDP|2803028782901565663|22</stp>
        <stp>NFLX UW Equity</stp>
        <stp>RT_PX_CHG_PCT_1D</stp>
        <tr r="F340" s="2"/>
      </tp>
      <tp>
        <v>33.97</v>
        <stp/>
        <stp>BDP|10752968864561318052|22</stp>
        <stp>CSX UW Equity</stp>
        <stp>LAST_PRICE</stp>
        <tr r="C122" s="2"/>
        <tr r="B122" s="2"/>
        <tr r="D122" s="2"/>
        <tr r="E122" s="2"/>
      </tp>
      <tp>
        <v>17.255600000000001</v>
        <stp/>
        <stp>BDP|18250375134752021000|22</stp>
        <stp>IR UN Equity</stp>
        <stp>CHG_PCT_3M_RT</stp>
        <tr r="I254" s="2"/>
      </tp>
      <tp>
        <v>470.74</v>
        <stp/>
        <stp>BDP|11577509717850150556|22</stp>
        <stp>TDY UN Equity</stp>
        <stp>LAST_PRICE</stp>
        <tr r="B439" s="2"/>
        <tr r="E439" s="2"/>
        <tr r="C439" s="2"/>
        <tr r="D439" s="2"/>
      </tp>
      <tp>
        <v>0.3997</v>
        <stp/>
        <stp>BDP|14622930158331108374|22</stp>
        <stp>CL UN Equity</stp>
        <stp>CHG_PCT_1M_RT</stp>
        <tr r="H99" s="2"/>
      </tp>
      <tp>
        <v>-8.5084999999999997</v>
        <stp/>
        <stp>BDP|6084136052251103464|22</stp>
        <stp>WST UN Equity</stp>
        <stp>CHG_PCT_YTD_RT</stp>
        <tr r="J497" s="2"/>
      </tp>
      <tp>
        <v>6.5461999999999998</v>
        <stp/>
        <stp>BDP|1138610956077603516|22</stp>
        <stp>FTV UN Equity</stp>
        <stp>CHG_PCT_YTD_RT</stp>
        <tr r="J202" s="2"/>
      </tp>
      <tp>
        <v>247.2</v>
        <stp/>
        <stp>BDP|7252715705084319003|22</stp>
        <stp>EPAM UN Equity</stp>
        <stp>LAST_PRICE</stp>
        <tr r="C169" s="2"/>
        <tr r="D169" s="2"/>
        <tr r="E169" s="2"/>
        <tr r="B169" s="2"/>
      </tp>
      <tp>
        <v>51.175199999999997</v>
        <stp/>
        <stp>BDP|3328831744926153979|22</stp>
        <stp>ETN UN Equity</stp>
        <stp>CHG_PCT_YTD_RT</stp>
        <tr r="J176" s="2"/>
      </tp>
      <tp>
        <v>12.815300000000001</v>
        <stp/>
        <stp>BDP|14097252260380948760|22</stp>
        <stp>J UN Equity</stp>
        <stp>CHG_PCT_3M_RT</stp>
        <tr r="I260" s="2"/>
      </tp>
      <tp>
        <v>16.5395</v>
        <stp/>
        <stp>BDP|6263157166055847313|22</stp>
        <stp>TSN UN Equity</stp>
        <stp>CHG_PCT_YTD_RT</stp>
        <tr r="J457" s="2"/>
      </tp>
      <tp>
        <v>-2.2105998992919922</v>
        <stp/>
        <stp>BDP|11780969686450131749|22</stp>
        <stp>SHW UN Equity</stp>
        <stp>RT_PX_CHG_PCT_1D</stp>
        <tr r="F414" s="2"/>
      </tp>
      <tp>
        <v>11.896000000000001</v>
        <stp/>
        <stp>BDP|2673969105187206736|22</stp>
        <stp>HON UW Equity</stp>
        <stp>CHG_PCT_3M_RT</stp>
        <tr r="I232" s="2"/>
      </tp>
      <tp>
        <v>-4.3277000000000001</v>
        <stp/>
        <stp>BDP|9454535069858616627|22</stp>
        <stp>COO UW Equity</stp>
        <stp>CHG_PCT_1M_RT</stp>
        <tr r="H109" s="2"/>
      </tp>
      <tp>
        <v>-0.58990001678466797</v>
        <stp/>
        <stp>BDP|16289027153686601476|22</stp>
        <stp>XOM UN Equity</stp>
        <stp>RT_PX_CHG_PCT_1D</stp>
        <tr r="F502" s="2"/>
      </tp>
      <tp>
        <v>8352.08</v>
        <stp/>
        <stp>BDP|1594039234189838727|22</stp>
        <stp>UKX Index</stp>
        <stp>LAST_PRICE</stp>
        <tr r="E518" s="2"/>
        <tr r="B518" s="2"/>
        <tr r="C518" s="2"/>
        <tr r="D518" s="2"/>
      </tp>
      <tp>
        <v>2.5341999999999998</v>
        <stp/>
        <stp>BDP|5992217129361415932|22</stp>
        <stp>DGX UN Equity</stp>
        <stp>CHG_PCT_3M_RT</stp>
        <tr r="I140" s="2"/>
      </tp>
      <tp>
        <v>-2.1423999999999999</v>
        <stp/>
        <stp>BDP|5481512240099895880|22</stp>
        <stp>PNW UN Equity</stp>
        <stp>REALTIME_5_DAY_CHANGE_PERCENT</stp>
        <tr r="G384" s="2"/>
      </tp>
      <tp>
        <v>-0.49399999999999999</v>
        <stp/>
        <stp>BDP|5136463842900781162|22</stp>
        <stp>KMB UN Equity</stp>
        <stp>CHG_PCT_1M_RT</stp>
        <tr r="H276" s="2"/>
      </tp>
      <tp>
        <v>0.29630000000000001</v>
        <stp/>
        <stp>BDP|9609693316303507034|22</stp>
        <stp>RCL UN Equity</stp>
        <stp>REALTIME_5_DAY_CHANGE_PERCENT</stp>
        <tr r="G397" s="2"/>
      </tp>
      <tp>
        <v>-0.81919997930526733</v>
        <stp/>
        <stp>BDP|12471715406298765779|22</stp>
        <stp>LUV UN Equity</stp>
        <stp>RT_PX_CHG_PCT_1D</stp>
        <tr r="F295" s="2"/>
      </tp>
      <tp>
        <v>-7.8746</v>
        <stp/>
        <stp>BDP|2814623872169372057|22</stp>
        <stp>LEN UN Equity</stp>
        <stp>CHG_PCT_3M_RT</stp>
        <tr r="I284" s="2"/>
      </tp>
      <tp>
        <v>-0.2646</v>
        <stp/>
        <stp>BDP|9008208656186181811|22</stp>
        <stp>COF UN Equity</stp>
        <stp>CHG_PCT_1M_RT</stp>
        <tr r="H108" s="2"/>
      </tp>
      <tp>
        <v>29.794699999999999</v>
        <stp/>
        <stp>BDP|9888356107059979575|22</stp>
        <stp>TWSE Index</stp>
        <stp>CHG_PCT_YTD_RT</stp>
        <tr r="J534" s="2"/>
      </tp>
      <tp>
        <v>-2.1185998916625977</v>
        <stp/>
        <stp>BDP|16294947637979314009|22</stp>
        <stp>GLW UN Equity</stp>
        <stp>RT_PX_CHG_PCT_1D</stp>
        <tr r="F212" s="2"/>
      </tp>
      <tp>
        <v>-0.65390002727508545</v>
        <stp/>
        <stp>BDP|16293473282784634981|22</stp>
        <stp>DRI UN Equity</stp>
        <stp>RT_PX_CHG_PCT_1D</stp>
        <tr r="F150" s="2"/>
      </tp>
      <tp>
        <v>-0.56980001926422119</v>
        <stp/>
        <stp>BDP|10294671767356427006|22</stp>
        <stp>HON UW Equity</stp>
        <stp>RT_PX_CHG_PCT_1D</stp>
        <tr r="F232" s="2"/>
      </tp>
      <tp>
        <v>29.537199999999999</v>
        <stp/>
        <stp>BDP|8413738336401167077|22</stp>
        <stp>COF UN Equity</stp>
        <stp>CHG_PCT_3M_RT</stp>
        <tr r="I108" s="2"/>
      </tp>
      <tp>
        <v>-5.9901999999999997</v>
        <stp/>
        <stp>BDP|9522087090926716100|22</stp>
        <stp>BDX UN Equity</stp>
        <stp>CHG_PCT_3M_RT</stp>
        <tr r="I60" s="2"/>
      </tp>
      <tp>
        <v>16.316199999999998</v>
        <stp/>
        <stp>BDP|4702384776131410388|22</stp>
        <stp>BAC UN Equity</stp>
        <stp>CHG_PCT_3M_RT</stp>
        <tr r="I56" s="2"/>
      </tp>
      <tp>
        <v>0.26330000162124634</v>
        <stp/>
        <stp>BDP|17189480793297753390|22</stp>
        <stp>LOW UN Equity</stp>
        <stp>RT_PX_CHG_PCT_1D</stp>
        <tr r="F292" s="2"/>
      </tp>
      <tp>
        <v>-5.1353999999999997</v>
        <stp/>
        <stp>BDP|2314200531731227960|22</stp>
        <stp>AOS UN Equity</stp>
        <stp>CHG_PCT_3M_RT</stp>
        <tr r="I41" s="2"/>
      </tp>
      <tp>
        <v>1.3563000000000001</v>
        <stp/>
        <stp>BDP|4781725192305627797|22</stp>
        <stp>CLX UN Equity</stp>
        <stp>CHG_PCT_1M_RT</stp>
        <tr r="H100" s="2"/>
      </tp>
      <tp>
        <v>0.81850000000000001</v>
        <stp/>
        <stp>BDP|6351223853320694935|22</stp>
        <stp>KMI UN Equity</stp>
        <stp>CHG_PCT_1M_RT</stp>
        <tr r="H277" s="2"/>
      </tp>
      <tp>
        <v>-1.2142000198364258</v>
        <stp/>
        <stp>BDP|18001112952989715253|22</stp>
        <stp>NI UN Equity</stp>
        <stp>RT_PX_CHG_PCT_1D</stp>
        <tr r="F341" s="2"/>
      </tp>
      <tp>
        <v>199.59</v>
        <stp/>
        <stp>BDP|12770848370186162317|22</stp>
        <stp>PTC UW Equity</stp>
        <stp>LAST_PRICE</stp>
        <tr r="D392" s="2"/>
        <tr r="C392" s="2"/>
        <tr r="E392" s="2"/>
        <tr r="B392" s="2"/>
      </tp>
      <tp>
        <v>45.97</v>
        <stp/>
        <stp>BDP|10124671865467500463|22</stp>
        <stp>CFG UN Equity</stp>
        <stp>LAST_PRICE</stp>
        <tr r="C93" s="2"/>
        <tr r="D93" s="2"/>
        <tr r="E93" s="2"/>
        <tr r="B93" s="2"/>
      </tp>
      <tp>
        <v>2.8862000000000001</v>
        <stp/>
        <stp>BDP|15757603631266261435|22</stp>
        <stp>FTSEMIB Index</stp>
        <stp>CHG_PCT_3M_RT</stp>
        <tr r="I522" s="2"/>
      </tp>
      <tp>
        <v>-0.52439999580383301</v>
        <stp/>
        <stp>BDP|7739129969127049276|22</stp>
        <stp>ERIE UW Equity</stp>
        <stp>RT_PX_CHG_PCT_1D</stp>
        <tr r="F173" s="2"/>
      </tp>
      <tp>
        <v>0.63010001182556152</v>
        <stp/>
        <stp>BDP|5282665341407171008|22</stp>
        <stp>NTRS UW Equity</stp>
        <stp>RT_PX_CHG_PCT_1D</stp>
        <tr r="F348" s="2"/>
      </tp>
      <tp>
        <v>100.08</v>
        <stp/>
        <stp>BDP|13315960268646860272|22</stp>
        <stp>EMN UN Equity</stp>
        <stp>LAST_PRICE</stp>
        <tr r="C165" s="2"/>
        <tr r="D165" s="2"/>
        <tr r="E165" s="2"/>
        <tr r="B165" s="2"/>
      </tp>
      <tp>
        <v>7.3353999999999999</v>
        <stp/>
        <stp>BDP|16858786722810484547|22</stp>
        <stp>MA UN Equity</stp>
        <stp>CHG_PCT_3M_RT</stp>
        <tr r="I300" s="2"/>
      </tp>
      <tp>
        <v>-2.0651000000000002</v>
        <stp/>
        <stp>BDP|16687396068456268128|22</stp>
        <stp>KO UN Equity</stp>
        <stp>CHG_PCT_1M_RT</stp>
        <tr r="H279" s="2"/>
      </tp>
      <tp>
        <v>-0.83660000562667847</v>
        <stp/>
        <stp>BDP|3837174452690616697|22</stp>
        <stp>BIIB UW Equity</stp>
        <stp>RT_PX_CHG_PCT_1D</stp>
        <tr r="F64" s="2"/>
      </tp>
      <tp>
        <v>0.33230000734329224</v>
        <stp/>
        <stp>BDP|8323221126009198208|22</stp>
        <stp>DELL UN Equity</stp>
        <stp>RT_PX_CHG_PCT_1D</stp>
        <tr r="F137" s="2"/>
      </tp>
      <tp>
        <v>264.86</v>
        <stp/>
        <stp>BDP|13918571831364291293|22</stp>
        <stp>EFX UN Equity</stp>
        <stp>LAST_PRICE</stp>
        <tr r="E160" s="2"/>
        <tr r="D160" s="2"/>
        <tr r="B160" s="2"/>
        <tr r="C160" s="2"/>
      </tp>
      <tp>
        <v>10.8574</v>
        <stp/>
        <stp>BDP|8490269757605366674|22</stp>
        <stp>SYY UN Equity</stp>
        <stp>CHG_PCT_YTD_RT</stp>
        <tr r="J435" s="2"/>
      </tp>
      <tp>
        <v>361.72</v>
        <stp/>
        <stp>BDP|3255030576048172126|22</stp>
        <stp>CPAY UN Equity</stp>
        <stp>LAST_PRICE</stp>
        <tr r="D113" s="2"/>
        <tr r="C113" s="2"/>
        <tr r="E113" s="2"/>
        <tr r="B113" s="2"/>
      </tp>
      <tp>
        <v>32.991500000000002</v>
        <stp/>
        <stp>BDP|5610343801370210197|22</stp>
        <stp>WRB UN Equity</stp>
        <stp>CHG_PCT_YTD_RT</stp>
        <tr r="J496" s="2"/>
      </tp>
      <tp>
        <v>219.33</v>
        <stp/>
        <stp>BDP|5935745523331499928|22</stp>
        <stp>GRMN UN Equity</stp>
        <stp>LAST_PRICE</stp>
        <tr r="D219" s="2"/>
        <tr r="E219" s="2"/>
        <tr r="C219" s="2"/>
        <tr r="B219" s="2"/>
      </tp>
      <tp>
        <v>4.3217999999999996</v>
        <stp/>
        <stp>BDP|9847068664601702192|22</stp>
        <stp>FTV UN Equity</stp>
        <stp>CHG_PCT_1M_RT</stp>
        <tr r="H202" s="2"/>
      </tp>
      <tp>
        <v>-1.6196999549865723</v>
        <stp/>
        <stp>BDP|12591892011452420923|22</stp>
        <stp>TDG UN Equity</stp>
        <stp>RT_PX_CHG_PCT_1D</stp>
        <tr r="F438" s="2"/>
      </tp>
      <tp>
        <v>0.46700000762939453</v>
        <stp/>
        <stp>BDP|13639309543452999969|22</stp>
        <stp>STX UW Equity</stp>
        <stp>RT_PX_CHG_PCT_1D</stp>
        <tr r="F428" s="2"/>
      </tp>
      <tp>
        <v>-3.577</v>
        <stp/>
        <stp>BDP|2738999198749507200|22</stp>
        <stp>TPR UN Equity</stp>
        <stp>REALTIME_5_DAY_CHANGE_PERCENT</stp>
        <tr r="G450" s="2"/>
      </tp>
      <tp>
        <v>15.630699999999999</v>
        <stp/>
        <stp>BDP|2446198231523162126|22</stp>
        <stp>APD UN Equity</stp>
        <stp>CHG_PCT_3M_RT</stp>
        <tr r="I43" s="2"/>
      </tp>
      <tp>
        <v>-1.3393000364303589</v>
        <stp/>
        <stp>BDP|14393642975663906353|22</stp>
        <stp>PPL UN Equity</stp>
        <stp>RT_PX_CHG_PCT_1D</stp>
        <tr r="F388" s="2"/>
      </tp>
      <tp>
        <v>-2.2629000000000001</v>
        <stp/>
        <stp>BDP|3248223679072088172|22</stp>
        <stp>DTE UN Equity</stp>
        <stp>CHG_PCT_3M_RT</stp>
        <tr r="I151" s="2"/>
      </tp>
      <tp>
        <v>-0.12239999999999999</v>
        <stp/>
        <stp>BDP|9155576587639180965|22</stp>
        <stp>FRT UN Equity</stp>
        <stp>CHG_PCT_1M_RT</stp>
        <tr r="H199" s="2"/>
      </tp>
      <tp>
        <v>2.303800106048584</v>
        <stp/>
        <stp>BDP|13961359019700468320|22</stp>
        <stp>VLO UN Equity</stp>
        <stp>RT_PX_CHG_PCT_1D</stp>
        <tr r="F475" s="2"/>
      </tp>
      <tp>
        <v>39.4649</v>
        <stp/>
        <stp>BDP|3962563081240247408|22</stp>
        <stp>DAY UN Equity</stp>
        <stp>CHG_PCT_3M_RT</stp>
        <tr r="I133" s="2"/>
      </tp>
      <tp>
        <v>-1.9496</v>
        <stp/>
        <stp>BDP|1211776172429828259|22</stp>
        <stp>TDY UN Equity</stp>
        <stp>REALTIME_5_DAY_CHANGE_PERCENT</stp>
        <tr r="G439" s="2"/>
      </tp>
      <tp>
        <v>-1.9207999706268311</v>
        <stp/>
        <stp>BDP|12018500227306853289|22</stp>
        <stp>MAR UW Equity</stp>
        <stp>RT_PX_CHG_PCT_1D</stp>
        <tr r="F302" s="2"/>
      </tp>
      <tp>
        <v>-0.5988</v>
        <stp/>
        <stp>BDP|3596782375995701014|22</stp>
        <stp>HIG UN Equity</stp>
        <stp>CHG_PCT_3M_RT</stp>
        <tr r="I228" s="2"/>
      </tp>
      <tp>
        <v>-1.0902999639511108</v>
        <stp/>
        <stp>BDP|16085154269485739225|22</stp>
        <stp>APD UN Equity</stp>
        <stp>RT_PX_CHG_PCT_1D</stp>
        <tr r="F43" s="2"/>
      </tp>
      <tp>
        <v>1.0868</v>
        <stp/>
        <stp>BDP|7384461847905568211|22</stp>
        <stp>ALL UN Equity</stp>
        <stp>CHG_PCT_1M_RT</stp>
        <tr r="H27" s="2"/>
      </tp>
      <tp>
        <v>10.9047</v>
        <stp/>
        <stp>BDP|9909345603199430892|22</stp>
        <stp>CFG UN Equity</stp>
        <stp>CHG_PCT_3M_RT</stp>
        <tr r="I93" s="2"/>
      </tp>
      <tp>
        <v>-2.3717000000000001</v>
        <stp/>
        <stp>BDP|2499176982522726183|22</stp>
        <stp>AJG UN Equity</stp>
        <stp>CHG_PCT_3M_RT</stp>
        <tr r="I23" s="2"/>
      </tp>
      <tp>
        <v>-0.7346000075340271</v>
        <stp/>
        <stp>BDP|14437044582584594125|22</stp>
        <stp>EFX UN Equity</stp>
        <stp>RT_PX_CHG_PCT_1D</stp>
        <tr r="F160" s="2"/>
      </tp>
      <tp>
        <v>-1.9586999416351318</v>
        <stp/>
        <stp>BDP|15767994000756388783|22</stp>
        <stp>AIG UN Equity</stp>
        <stp>RT_PX_CHG_PCT_1D</stp>
        <tr r="F21" s="2"/>
      </tp>
      <tp>
        <v>0.18919999897480011</v>
        <stp/>
        <stp>BDP|14178512202335697461|22</stp>
        <stp>DTE UN Equity</stp>
        <stp>RT_PX_CHG_PCT_1D</stp>
        <tr r="F151" s="2"/>
      </tp>
      <tp>
        <v>-2.1508998870849609</v>
        <stp/>
        <stp>BDP|10591303471679258237|22</stp>
        <stp>GEN UW Equity</stp>
        <stp>RT_PX_CHG_PCT_1D</stp>
        <tr r="F207" s="2"/>
      </tp>
      <tp>
        <v>1.0866</v>
        <stp/>
        <stp>BDP|2100774207351993609|22</stp>
        <stp>AEE UN Equity</stp>
        <stp>CHG_PCT_1M_RT</stp>
        <tr r="H17" s="2"/>
      </tp>
      <tp>
        <v>-5.4331002235412598</v>
        <stp/>
        <stp>BDP|13564415650567589680|22</stp>
        <stp>CEG UW Equity</stp>
        <stp>RT_PX_CHG_PCT_1D</stp>
        <tr r="F91" s="2"/>
      </tp>
      <tp>
        <v>-2.2553000450134277</v>
        <stp/>
        <stp>BDP|15071441418449042588|22</stp>
        <stp>MSI UN Equity</stp>
        <stp>RT_PX_CHG_PCT_1D</stp>
        <tr r="F330" s="2"/>
      </tp>
      <tp>
        <v>-3.4817999999999998</v>
        <stp/>
        <stp>BDP|4591011659735838268|22</stp>
        <stp>ICE UN Equity</stp>
        <stp>CHG_PCT_3M_RT</stp>
        <tr r="I243" s="2"/>
      </tp>
      <tp>
        <v>-0.86140000820159912</v>
        <stp/>
        <stp>BDP|14558448734620702415|22</stp>
        <stp>AME UN Equity</stp>
        <stp>RT_PX_CHG_PCT_1D</stp>
        <tr r="F32" s="2"/>
      </tp>
      <tp>
        <v>170.79</v>
        <stp/>
        <stp>BDP|15247976997614383718|22</stp>
        <stp>PG UN Equity</stp>
        <stp>LAST_PRICE</stp>
        <tr r="E374" s="2"/>
        <tr r="B374" s="2"/>
        <tr r="C374" s="2"/>
        <tr r="D374" s="2"/>
      </tp>
      <tp>
        <v>-0.49439999461174011</v>
        <stp/>
        <stp>BDP|11639265033570270115|22</stp>
        <stp>SW UN Equity</stp>
        <stp>RT_PX_CHG_PCT_1D</stp>
        <tr r="F430" s="2"/>
      </tp>
      <tp>
        <v>116.21</v>
        <stp/>
        <stp>BDP|14513566018599423699|22</stp>
        <stp>HIG UN Equity</stp>
        <stp>LAST_PRICE</stp>
        <tr r="C228" s="2"/>
        <tr r="D228" s="2"/>
        <tr r="B228" s="2"/>
        <tr r="E228" s="2"/>
      </tp>
      <tp>
        <v>19.184000000000001</v>
        <stp/>
        <stp>BDP|15324867150970690792|22</stp>
        <stp>MU UW Equity</stp>
        <stp>CHG_PCT_3M_RT</stp>
        <tr r="I334" s="2"/>
      </tp>
      <tp>
        <v>319.14999999999998</v>
        <stp/>
        <stp>BDP|231894907647764138|22</stp>
        <stp>CI UN Equity</stp>
        <stp>LAST_PRICE</stp>
        <tr r="D97" s="2"/>
        <tr r="C97" s="2"/>
        <tr r="E97" s="2"/>
        <tr r="B97" s="2"/>
      </tp>
      <tp>
        <v>-2.1105000972747803</v>
        <stp/>
        <stp>BDP|5353027842385646900|22</stp>
        <stp>HUBB UN Equity</stp>
        <stp>RT_PX_CHG_PCT_1D</stp>
        <tr r="F239" s="2"/>
      </tp>
      <tp>
        <v>134.55000000000001</v>
        <stp/>
        <stp>BDP|17421135552630781923|22</stp>
        <stp>VLO UN Equity</stp>
        <stp>LAST_PRICE</stp>
        <tr r="E475" s="2"/>
        <tr r="B475" s="2"/>
        <tr r="C475" s="2"/>
        <tr r="D475" s="2"/>
      </tp>
      <tp>
        <v>4.0060000000000002</v>
        <stp/>
        <stp>BDP|15552003588141388688|22</stp>
        <stp>LH UN Equity</stp>
        <stp>CHG_PCT_3M_RT</stp>
        <tr r="I285" s="2"/>
      </tp>
      <tp>
        <v>108.24</v>
        <stp/>
        <stp>BDP|13411846036367307769|22</stp>
        <stp>PNR UN Equity</stp>
        <stp>LAST_PRICE</stp>
        <tr r="B383" s="2"/>
        <tr r="D383" s="2"/>
        <tr r="E383" s="2"/>
        <tr r="C383" s="2"/>
      </tp>
      <tp>
        <v>-13.5665</v>
        <stp/>
        <stp>BDP|16572113877618779272|22</stp>
        <stp>BG UN Equity</stp>
        <stp>CHG_PCT_3M_RT</stp>
        <tr r="I63" s="2"/>
      </tp>
      <tp>
        <v>1.8238999843597412</v>
        <stp/>
        <stp>BDP|6551349500033918899|22</stp>
        <stp>BF/B UN Equity</stp>
        <stp>RT_PX_CHG_PCT_1D</stp>
        <tr r="F62" s="2"/>
      </tp>
      <tp>
        <v>27.8247</v>
        <stp/>
        <stp>BDP|16287914177142085882|22</stp>
        <stp>EL UN Equity</stp>
        <stp>CHG_PCT_1M_RT</stp>
        <tr r="H163" s="2"/>
      </tp>
      <tp>
        <v>14.046099999999999</v>
        <stp/>
        <stp>BDP|17937812187585546427|22</stp>
        <stp>DE UN Equity</stp>
        <stp>CHG_PCT_1M_RT</stp>
        <tr r="H135" s="2"/>
      </tp>
      <tp>
        <v>-11.475199999999999</v>
        <stp/>
        <stp>BDP|17011743244266859162|22</stp>
        <stp>ES UN Equity</stp>
        <stp>CHG_PCT_3M_RT</stp>
        <tr r="I174" s="2"/>
      </tp>
      <tp>
        <v>87.32</v>
        <stp/>
        <stp>BDP|14450707926487202264|22</stp>
        <stp>BBY UN Equity</stp>
        <stp>LAST_PRICE</stp>
        <tr r="E59" s="2"/>
        <tr r="B59" s="2"/>
        <tr r="C59" s="2"/>
        <tr r="D59" s="2"/>
      </tp>
      <tp>
        <v>7.0511999999999997</v>
        <stp/>
        <stp>BDP|11052891952453523815|22</stp>
        <stp>EW UN Equity</stp>
        <stp>CHG_PCT_1M_RT</stp>
        <tr r="H179" s="2"/>
      </tp>
      <tp>
        <v>18.732900000000001</v>
        <stp/>
        <stp>BDP|6838544123970050034|22</stp>
        <stp>LNT UW Equity</stp>
        <stp>CHG_PCT_YTD_RT</stp>
        <tr r="J291" s="2"/>
      </tp>
      <tp>
        <v>58.227800000000002</v>
        <stp/>
        <stp>BDP|4142671875192250711|22</stp>
        <stp>FOX UW Equity</stp>
        <stp>CHG_PCT_YTD_RT</stp>
        <tr r="J197" s="2"/>
      </tp>
      <tp>
        <v>43.151699999999998</v>
        <stp/>
        <stp>BDP|6499787796717814031|22</stp>
        <stp>LYV UN Equity</stp>
        <stp>CHG_PCT_YTD_RT</stp>
        <tr r="J299" s="2"/>
      </tp>
      <tp>
        <v>32.248399999999997</v>
        <stp/>
        <stp>BDP|3014733352796806397|22</stp>
        <stp>TRV UN Equity</stp>
        <stp>CHG_PCT_YTD_RT</stp>
        <tr r="J454" s="2"/>
      </tp>
      <tp>
        <v>132.7193</v>
        <stp/>
        <stp>BDP|3845414129472672954|22</stp>
        <stp>UAL UW Equity</stp>
        <stp>CHG_PCT_YTD_RT</stp>
        <tr r="J463" s="2"/>
      </tp>
      <tp>
        <v>-0.56289999999999996</v>
        <stp/>
        <stp>BDP|10533562683389060989|22</stp>
        <stp>F UN Equity</stp>
        <stp>CHG_PCT_3M_RT</stp>
        <tr r="I184" s="2"/>
      </tp>
      <tp>
        <v>43.333300000000001</v>
        <stp/>
        <stp>BDP|7265976121153817920|22</stp>
        <stp>JPM UN Equity</stp>
        <stp>CHG_PCT_YTD_RT</stp>
        <tr r="J267" s="2"/>
      </tp>
      <tp>
        <v>-1.9734</v>
        <stp/>
        <stp>BDP|2137391507390718|22</stp>
        <stp>ROL UN Equity</stp>
        <stp>CHG_PCT_3M_RT</stp>
        <tr r="I405" s="2"/>
      </tp>
      <tp>
        <v>4.9066000000000001</v>
        <stp/>
        <stp>BDP|2569029082410796304|22</stp>
        <stp>PFG UW Equity</stp>
        <stp>CHG_PCT_YTD_RT</stp>
        <tr r="J373" s="2"/>
      </tp>
      <tp>
        <v>76.39</v>
        <stp/>
        <stp>BDP|5722579912238883839|22</stp>
        <stp>ENPH UQ Equity</stp>
        <stp>LAST_PRICE</stp>
        <tr r="B167" s="2"/>
        <tr r="E167" s="2"/>
        <tr r="C167" s="2"/>
        <tr r="D167" s="2"/>
      </tp>
      <tp>
        <v>7.7596999999999996</v>
        <stp/>
        <stp>BDP|8888889165247452781|22</stp>
        <stp>LIN UW Equity</stp>
        <stp>CHG_PCT_YTD_RT</stp>
        <tr r="J287" s="2"/>
      </tp>
      <tp>
        <v>11.960100000000001</v>
        <stp/>
        <stp>BDP|5452790788956205069|22</stp>
        <stp>CVX UN Equity</stp>
        <stp>CHG_PCT_3M_RT</stp>
        <tr r="I129" s="2"/>
      </tp>
      <tp>
        <v>55.59</v>
        <stp/>
        <stp>BDP|7926334826800412953|22</stp>
        <stp>D UN Equity</stp>
        <stp>LAST_PRICE</stp>
        <tr r="B131" s="2"/>
        <tr r="E131" s="2"/>
        <tr r="C131" s="2"/>
        <tr r="D131" s="2"/>
      </tp>
      <tp>
        <v>-2.4689000000000001</v>
        <stp/>
        <stp>BDP|6169809542725496356|22</stp>
        <stp>URI UN Equity</stp>
        <stp>REALTIME_5_DAY_CHANGE_PERCENT</stp>
        <tr r="G471" s="2"/>
      </tp>
      <tp>
        <v>-1.1950000524520874</v>
        <stp/>
        <stp>BDP|12522852924888814334|22</stp>
        <stp>RTX UN Equity</stp>
        <stp>RT_PX_CHG_PCT_1D</stp>
        <tr r="F409" s="2"/>
      </tp>
      <tp>
        <v>-0.1023000031709671</v>
        <stp/>
        <stp>BDP|11621770681855650802|22</stp>
        <stp>WST UN Equity</stp>
        <stp>RT_PX_CHG_PCT_1D</stp>
        <tr r="F497" s="2"/>
      </tp>
      <tp>
        <v>0.42120000720024109</v>
        <stp/>
        <stp>BDP|12391167732299398428|22</stp>
        <stp>SYY UN Equity</stp>
        <stp>RT_PX_CHG_PCT_1D</stp>
        <tr r="F435" s="2"/>
      </tp>
      <tp>
        <v>3.5999999999999997E-2</v>
        <stp/>
        <stp>BDP|9578953498303418233|22</stp>
        <stp>YUM UN Equity</stp>
        <stp>REALTIME_5_DAY_CHANGE_PERCENT</stp>
        <tr r="G504" s="2"/>
      </tp>
      <tp>
        <v>0.20360000431537628</v>
        <stp/>
        <stp>BDP|11264280501954361774|22</stp>
        <stp>SPG UN Equity</stp>
        <stp>RT_PX_CHG_PCT_1D</stp>
        <tr r="F422" s="2"/>
      </tp>
      <tp>
        <v>-0.70539999008178711</v>
        <stp/>
        <stp>BDP|10308887855800733381|22</stp>
        <stp>UHS UN Equity</stp>
        <stp>RT_PX_CHG_PCT_1D</stp>
        <tr r="F466" s="2"/>
      </tp>
      <tp>
        <v>8.9442000000000004</v>
        <stp/>
        <stp>BDP|7980720482238835171|22</stp>
        <stp>DPZ UN Equity</stp>
        <stp>CHG_PCT_3M_RT</stp>
        <tr r="I149" s="2"/>
      </tp>
      <tp>
        <v>-1.0154999494552612</v>
        <stp/>
        <stp>BDP|14768777523326871088|22</stp>
        <stp>SYK UN Equity</stp>
        <stp>RT_PX_CHG_PCT_1D</stp>
        <tr r="F434" s="2"/>
      </tp>
      <tp>
        <v>1.5755999999999999</v>
        <stp/>
        <stp>BDP|4816661754968228963|22</stp>
        <stp>IPG UN Equity</stp>
        <stp>CHG_PCT_1M_RT</stp>
        <tr r="H252" s="2"/>
      </tp>
      <tp>
        <v>85</v>
        <stp/>
        <stp>BDP|2454124008234279558|22</stp>
        <stp>L UN Equity</stp>
        <stp>LAST_PRICE</stp>
        <tr r="E282" s="2"/>
        <tr r="B282" s="2"/>
        <tr r="C282" s="2"/>
        <tr r="D282" s="2"/>
      </tp>
      <tp>
        <v>-9.8470999999999993</v>
        <stp/>
        <stp>BDP|8665909953928283537|22</stp>
        <stp>KDP UW Equity</stp>
        <stp>CHG_PCT_3M_RT</stp>
        <tr r="I269" s="2"/>
      </tp>
      <tp>
        <v>-5.2695999999999996</v>
        <stp/>
        <stp>BDP|1514049790260702824|22</stp>
        <stp>AMD UW Equity</stp>
        <stp>CHG_PCT_3M_RT</stp>
        <tr r="I31" s="2"/>
      </tp>
      <tp>
        <v>1.8896000385284424</v>
        <stp/>
        <stp>BDP|13094411048395360660|22</stp>
        <stp>MTD UN Equity</stp>
        <stp>RT_PX_CHG_PCT_1D</stp>
        <tr r="F333" s="2"/>
      </tp>
      <tp>
        <v>-1.9499000310897827</v>
        <stp/>
        <stp>BDP|17327208153726983488|22</stp>
        <stp>GWW UN Equity</stp>
        <stp>RT_PX_CHG_PCT_1D</stp>
        <tr r="F221" s="2"/>
      </tp>
      <tp>
        <v>-0.63380002975463867</v>
        <stp/>
        <stp>BDP|17813336091755796904|22</stp>
        <stp>CME UW Equity</stp>
        <stp>RT_PX_CHG_PCT_1D</stp>
        <tr r="F102" s="2"/>
      </tp>
      <tp>
        <v>0.13210000097751617</v>
        <stp/>
        <stp>BDP|13798598574802762372|22</stp>
        <stp>MAA UN Equity</stp>
        <stp>RT_PX_CHG_PCT_1D</stp>
        <tr r="F301" s="2"/>
      </tp>
      <tp>
        <v>0.19740000367164612</v>
        <stp/>
        <stp>BDP|10738498114512035280|22</stp>
        <stp>ITW UN Equity</stp>
        <stp>RT_PX_CHG_PCT_1D</stp>
        <tr r="F258" s="2"/>
      </tp>
      <tp>
        <v>-15.504099999999999</v>
        <stp/>
        <stp>BDP|4405032229138511012|22</stp>
        <stp>CAG UN Equity</stp>
        <stp>CHG_PCT_3M_RT</stp>
        <tr r="I79" s="2"/>
      </tp>
      <tp>
        <v>-0.24570000171661377</v>
        <stp/>
        <stp>BDP|16878428678460973601|22</stp>
        <stp>LNT UW Equity</stp>
        <stp>RT_PX_CHG_PCT_1D</stp>
        <tr r="F291" s="2"/>
      </tp>
      <tp>
        <v>21.051500000000001</v>
        <stp/>
        <stp>BDP|1674747224150057446|22</stp>
        <stp>BMY UN Equity</stp>
        <stp>CHG_PCT_3M_RT</stp>
        <tr r="I70" s="2"/>
      </tp>
      <tp>
        <v>-5.3821000000000003</v>
        <stp/>
        <stp>BDP|5993576135603379015|22</stp>
        <stp>MMC UN Equity</stp>
        <stp>CHG_PCT_3M_RT</stp>
        <tr r="I317" s="2"/>
      </tp>
      <tp>
        <v>0.1053</v>
        <stp/>
        <stp>BDP|9027226904726631271|22</stp>
        <stp>PTC UW Equity</stp>
        <stp>REALTIME_5_DAY_CHANGE_PERCENT</stp>
        <tr r="G392" s="2"/>
      </tp>
      <tp>
        <v>0.46550000000000002</v>
        <stp/>
        <stp>BDP|4082947878006422170|22</stp>
        <stp>NWS UW Equity</stp>
        <stp>CHG_PCT_1M_RT</stp>
        <tr r="H352" s="2"/>
      </tp>
      <tp>
        <v>0.84609999999999996</v>
        <stp/>
        <stp>BDP|7382108209372922575|22</stp>
        <stp>CAH UN Equity</stp>
        <stp>CHG_PCT_1M_RT</stp>
        <tr r="H80" s="2"/>
      </tp>
      <tp>
        <v>1.7282999999999999</v>
        <stp/>
        <stp>BDP|5328902980552980709|22</stp>
        <stp>BAC UN Equity</stp>
        <stp>CHG_PCT_1M_RT</stp>
        <tr r="H56" s="2"/>
      </tp>
      <tp>
        <v>15.575200000000001</v>
        <stp/>
        <stp>BDP|1541261079600336838|22</stp>
        <stp>AME UN Equity</stp>
        <stp>CHG_PCT_3M_RT</stp>
        <tr r="I32" s="2"/>
      </tp>
      <tp>
        <v>12.0214</v>
        <stp/>
        <stp>BDP|8576743267666628735|22</stp>
        <stp>LOW UN Equity</stp>
        <stp>CHG_PCT_3M_RT</stp>
        <tr r="I292" s="2"/>
      </tp>
      <tp>
        <v>-0.15709999999999999</v>
        <stp/>
        <stp>BDP|7424409700481892342|22</stp>
        <stp>TDG UN Equity</stp>
        <stp>REALTIME_5_DAY_CHANGE_PERCENT</stp>
        <tr r="G438" s="2"/>
      </tp>
      <tp>
        <v>-2.5471000671386719</v>
        <stp/>
        <stp>BDP|12980382945463682315|22</stp>
        <stp>MO UN Equity</stp>
        <stp>RT_PX_CHG_PCT_1D</stp>
        <tr r="F320" s="2"/>
      </tp>
      <tp>
        <v>64.58</v>
        <stp/>
        <stp>BDP|12806978128862151100|22</stp>
        <stp>CMG UN Equity</stp>
        <stp>LAST_PRICE</stp>
        <tr r="B103" s="2"/>
        <tr r="E103" s="2"/>
        <tr r="C103" s="2"/>
        <tr r="D103" s="2"/>
      </tp>
      <tp>
        <v>117.83</v>
        <stp/>
        <stp>BDP|14245889334953362118|22</stp>
        <stp>SJM UN Equity</stp>
        <stp>LAST_PRICE</stp>
        <tr r="D415" s="2"/>
        <tr r="E415" s="2"/>
        <tr r="B415" s="2"/>
        <tr r="C415" s="2"/>
      </tp>
      <tp>
        <v>109.66</v>
        <stp/>
        <stp>BDP|12180525767103417987|22</stp>
        <stp>ALB UN Equity</stp>
        <stp>LAST_PRICE</stp>
        <tr r="C25" s="2"/>
        <tr r="D25" s="2"/>
        <tr r="E25" s="2"/>
        <tr r="B25" s="2"/>
      </tp>
      <tp>
        <v>25.04</v>
        <stp/>
        <stp>BDP|15864789484524670079|22</stp>
        <stp>KIM UN Equity</stp>
        <stp>LAST_PRICE</stp>
        <tr r="B273" s="2"/>
        <tr r="C273" s="2"/>
        <tr r="D273" s="2"/>
        <tr r="E273" s="2"/>
      </tp>
      <tp>
        <v>490.52</v>
        <stp/>
        <stp>BDP|11357606474643779711|22</stp>
        <stp>MCO UN Equity</stp>
        <stp>LAST_PRICE</stp>
        <tr r="E307" s="2"/>
        <tr r="B307" s="2"/>
        <tr r="D307" s="2"/>
        <tr r="C307" s="2"/>
      </tp>
      <tp>
        <v>54.67</v>
        <stp/>
        <stp>BDP|17635900098578813589|22</stp>
        <stp>WMB UN Equity</stp>
        <stp>LAST_PRICE</stp>
        <tr r="D494" s="2"/>
        <tr r="E494" s="2"/>
        <tr r="B494" s="2"/>
        <tr r="C494" s="2"/>
      </tp>
      <tp>
        <v>-3.9285999999999999</v>
        <stp/>
        <stp>BDP|16904675221390580408|22</stp>
        <stp>LW UN Equity</stp>
        <stp>CHG_PCT_1M_RT</stp>
        <tr r="H297" s="2"/>
      </tp>
      <tp>
        <v>-8.2508999999999997</v>
        <stp/>
        <stp>BDP|14193355798582969789|22</stp>
        <stp>FE UN Equity</stp>
        <stp>CHG_PCT_3M_RT</stp>
        <tr r="I190" s="2"/>
      </tp>
      <tp>
        <v>1120.48</v>
        <stp/>
        <stp>BDP|14729643556599399694|22</stp>
        <stp>NOW UN Equity</stp>
        <stp>LAST_PRICE</stp>
        <tr r="C344" s="2"/>
        <tr r="D344" s="2"/>
        <tr r="E344" s="2"/>
        <tr r="B344" s="2"/>
      </tp>
      <tp>
        <v>-1.8739000558853149</v>
        <stp/>
        <stp>BDP|1844365856196881165|22</stp>
        <stp>HBAN UW Equity</stp>
        <stp>RT_PX_CHG_PCT_1D</stp>
        <tr r="F224" s="2"/>
      </tp>
      <tp>
        <v>31.85</v>
        <stp/>
        <stp>BDP|15064487713446737084|22</stp>
        <stp>BAX UN Equity</stp>
        <stp>LAST_PRICE</stp>
        <tr r="B58" s="2"/>
        <tr r="C58" s="2"/>
        <tr r="D58" s="2"/>
        <tr r="E58" s="2"/>
      </tp>
      <tp>
        <v>130.43</v>
        <stp/>
        <stp>BDP|13378498342200051972|22</stp>
        <stp>EMR UN Equity</stp>
        <stp>LAST_PRICE</stp>
        <tr r="B166" s="2"/>
        <tr r="C166" s="2"/>
        <tr r="D166" s="2"/>
        <tr r="E166" s="2"/>
      </tp>
      <tp>
        <v>-1.5253000259399414</v>
        <stp/>
        <stp>BDP|1228972706160616073|22</stp>
        <stp>CINF UW Equity</stp>
        <stp>RT_PX_CHG_PCT_1D</stp>
        <tr r="F98" s="2"/>
      </tp>
      <tp>
        <v>342.51</v>
        <stp/>
        <stp>BDP|8071509488194468311|22</stp>
        <stp>ANSS UW Equity</stp>
        <stp>LAST_PRICE</stp>
        <tr r="E39" s="2"/>
        <tr r="B39" s="2"/>
        <tr r="C39" s="2"/>
        <tr r="D39" s="2"/>
      </tp>
      <tp>
        <v>156.24</v>
        <stp/>
        <stp>BDP|2216314250354775290|22</stp>
        <stp>ROST UW Equity</stp>
        <stp>LAST_PRICE</stp>
        <tr r="E407" s="2"/>
        <tr r="D407" s="2"/>
        <tr r="B407" s="2"/>
        <tr r="C407" s="2"/>
      </tp>
      <tp>
        <v>-28.9894</v>
        <stp/>
        <stp>BDP|5860476709479128920|22</stp>
        <stp>CVS UN Equity</stp>
        <stp>CHG_PCT_YTD_RT</stp>
        <tr r="J128" s="2"/>
      </tp>
      <tp>
        <v>-12.5382</v>
        <stp/>
        <stp>BDP|6286175947940610362|22</stp>
        <stp>SWK UN Equity</stp>
        <stp>CHG_PCT_YTD_RT</stp>
        <tr r="J431" s="2"/>
      </tp>
      <tp>
        <v>85.822100000000006</v>
        <stp/>
        <stp>BDP|7684767323943046486|22</stp>
        <stp>NRG UN Equity</stp>
        <stp>CHG_PCT_YTD_RT</stp>
        <tr r="J345" s="2"/>
      </tp>
      <tp>
        <v>22.3247</v>
        <stp/>
        <stp>BDP|2405177499235398873|22</stp>
        <stp>PPL UN Equity</stp>
        <stp>CHG_PCT_YTD_RT</stp>
        <tr r="J388" s="2"/>
      </tp>
      <tp>
        <v>35.077300000000001</v>
        <stp/>
        <stp>BDP|9951194173283315646|22</stp>
        <stp>WDC UW Equity</stp>
        <stp>CHG_PCT_YTD_RT</stp>
        <tr r="J489" s="2"/>
      </tp>
      <tp>
        <v>-4.6543999999999999</v>
        <stp/>
        <stp>BDP|3455467857813360820|22</stp>
        <stp>PSX UN Equity</stp>
        <stp>REALTIME_5_DAY_CHANGE_PERCENT</stp>
        <tr r="G391" s="2"/>
      </tp>
      <tp>
        <v>-7.0770999999999997</v>
        <stp/>
        <stp>BDP|4119601534394553943|22</stp>
        <stp>AVY UN Equity</stp>
        <stp>CHG_PCT_3M_RT</stp>
        <tr r="I50" s="2"/>
      </tp>
      <tp>
        <v>26.029900000000001</v>
        <stp/>
        <stp>BDP|58286930291022747|22</stp>
        <stp>AEE UN Equity</stp>
        <stp>CHG_PCT_YTD_RT</stp>
        <tr r="J17" s="2"/>
      </tp>
      <tp>
        <v>894.72</v>
        <stp/>
        <stp>BDP|9433728230654844889|22</stp>
        <stp>AEX Index</stp>
        <stp>LAST_PRICE</stp>
        <tr r="D523" s="2"/>
        <tr r="E523" s="2"/>
        <tr r="B523" s="2"/>
        <tr r="C523" s="2"/>
      </tp>
      <tp>
        <v>-0.60899999999999999</v>
        <stp/>
        <stp>BDP|3303060360014509712|22</stp>
        <stp>TYL UN Equity</stp>
        <stp>REALTIME_5_DAY_CHANGE_PERCENT</stp>
        <tr r="G462" s="2"/>
      </tp>
      <tp>
        <v>1.1993000507354736</v>
        <stp/>
        <stp>BDP|10768966655815946098|22</stp>
        <stp>MERVAL Index</stp>
        <stp>RT_PX_CHG_PCT_1D</stp>
        <tr r="F514" s="2"/>
      </tp>
      <tp>
        <v>-0.88599997758865356</v>
        <stp/>
        <stp>BDP|16747485432843029617|22</stp>
        <stp>SNA UN Equity</stp>
        <stp>RT_PX_CHG_PCT_1D</stp>
        <tr r="F418" s="2"/>
      </tp>
      <tp>
        <v>3.5781999999999998</v>
        <stp/>
        <stp>BDP|5468453217524486112|22</stp>
        <stp>IRM UN Equity</stp>
        <stp>CHG_PCT_3M_RT</stp>
        <tr r="I255" s="2"/>
      </tp>
      <tp>
        <v>18.252800000000001</v>
        <stp/>
        <stp>BDP|8260726095552693973|22</stp>
        <stp>AXP UN Equity</stp>
        <stp>CHG_PCT_3M_RT</stp>
        <tr r="I53" s="2"/>
      </tp>
      <tp>
        <v>7.9720000000000004</v>
        <stp/>
        <stp>BDP|5176590434718385302|22</stp>
        <stp>ADP UW Equity</stp>
        <stp>CHG_PCT_3M_RT</stp>
        <tr r="I15" s="2"/>
      </tp>
      <tp>
        <v>-2.003000020980835</v>
        <stp/>
        <stp>BDP|18371568696330048494|22</stp>
        <stp>RSG UN Equity</stp>
        <stp>RT_PX_CHG_PCT_1D</stp>
        <tr r="F408" s="2"/>
      </tp>
      <tp>
        <v>-2.5834999999999999</v>
        <stp/>
        <stp>BDP|6042126434540049338|22</stp>
        <stp>WTW UW Equity</stp>
        <stp>REALTIME_5_DAY_CHANGE_PERCENT</stp>
        <tr r="G498" s="2"/>
      </tp>
      <tp>
        <v>0.88929998874664307</v>
        <stp/>
        <stp>BDP|10685665007533876343|22</stp>
        <stp>CPB UW Equity</stp>
        <stp>RT_PX_CHG_PCT_1D</stp>
        <tr r="F114" s="2"/>
      </tp>
      <tp>
        <v>-17.262</v>
        <stp/>
        <stp>BDP|9485332004294503561|22</stp>
        <stp>HCA UN Equity</stp>
        <stp>CHG_PCT_3M_RT</stp>
        <tr r="I225" s="2"/>
      </tp>
      <tp>
        <v>3.8749001026153564</v>
        <stp/>
        <stp>BDP|16865967557937821226|22</stp>
        <stp>APA UW Equity</stp>
        <stp>RT_PX_CHG_PCT_1D</stp>
        <tr r="F42" s="2"/>
      </tp>
      <tp>
        <v>2.1120000000000001</v>
        <stp/>
        <stp>BDP|4398270552961219711|22</stp>
        <stp>EMN UN Equity</stp>
        <stp>CHG_PCT_3M_RT</stp>
        <tr r="I165" s="2"/>
      </tp>
      <tp>
        <v>23.37</v>
        <stp/>
        <stp>BDP|2826660907505193663|22</stp>
        <stp>T UN Equity</stp>
        <stp>LAST_PRICE</stp>
        <tr r="B436" s="2"/>
        <tr r="D436" s="2"/>
        <tr r="E436" s="2"/>
        <tr r="C436" s="2"/>
      </tp>
      <tp>
        <v>-1.4635</v>
        <stp/>
        <stp>BDP|6275061776941959696|22</stp>
        <stp>SJM UN Equity</stp>
        <stp>REALTIME_5_DAY_CHANGE_PERCENT</stp>
        <tr r="G415" s="2"/>
      </tp>
      <tp>
        <v>1.5081000328063965</v>
        <stp/>
        <stp>BDP|18252944717858919744|22</stp>
        <stp>NEM UN Equity</stp>
        <stp>RT_PX_CHG_PCT_1D</stp>
        <tr r="F339" s="2"/>
      </tp>
      <tp>
        <v>7.7786999999999997</v>
        <stp/>
        <stp>BDP|9166950861396941930|22</stp>
        <stp>AEE UN Equity</stp>
        <stp>CHG_PCT_3M_RT</stp>
        <tr r="I17" s="2"/>
      </tp>
      <tp>
        <v>-3.0068999999999999</v>
        <stp/>
        <stp>BDP|4498738707136155956|22</stp>
        <stp>UNP UN Equity</stp>
        <stp>REALTIME_5_DAY_CHANGE_PERCENT</stp>
        <tr r="G469" s="2"/>
      </tp>
      <tp>
        <v>1.1852999925613403</v>
        <stp/>
        <stp>BDP|11578412400815637542|22</stp>
        <stp>CVX UN Equity</stp>
        <stp>RT_PX_CHG_PCT_1D</stp>
        <tr r="F129" s="2"/>
      </tp>
      <tp>
        <v>6.0995999999999997</v>
        <stp/>
        <stp>BDP|9916740254476801033|22</stp>
        <stp>EOG UN Equity</stp>
        <stp>CHG_PCT_3M_RT</stp>
        <tr r="I168" s="2"/>
      </tp>
      <tp>
        <v>1.4973000000000001</v>
        <stp/>
        <stp>BDP|3819596929553531567|22</stp>
        <stp>CAT UN Equity</stp>
        <stp>CHG_PCT_1M_RT</stp>
        <tr r="H82" s="2"/>
      </tp>
      <tp>
        <v>-0.93210000000000004</v>
        <stp/>
        <stp>BDP|6670704037117187036|22</stp>
        <stp>ZBH UN Equity</stp>
        <stp>REALTIME_5_DAY_CHANGE_PERCENT</stp>
        <tr r="G505" s="2"/>
      </tp>
      <tp>
        <v>18.403700000000001</v>
        <stp/>
        <stp>BDP|8545989440089019702|22</stp>
        <stp>GLW UN Equity</stp>
        <stp>CHG_PCT_3M_RT</stp>
        <tr r="I212" s="2"/>
      </tp>
      <tp>
        <v>25.73</v>
        <stp/>
        <stp>BDP|12174418988021373664|22</stp>
        <stp>RF UN Equity</stp>
        <stp>LAST_PRICE</stp>
        <tr r="D400" s="2"/>
        <tr r="C400" s="2"/>
        <tr r="E400" s="2"/>
        <tr r="B400" s="2"/>
      </tp>
      <tp>
        <v>306.54000000000002</v>
        <stp/>
        <stp>BDP|14835265995167641762|22</stp>
        <stp>MOH UN Equity</stp>
        <stp>LAST_PRICE</stp>
        <tr r="B321" s="2"/>
        <tr r="C321" s="2"/>
        <tr r="D321" s="2"/>
        <tr r="E321" s="2"/>
      </tp>
      <tp>
        <v>1.7201000452041626</v>
        <stp/>
        <stp>BDP|6693732884846657306|22</stp>
        <stp>CSGP UW Equity</stp>
        <stp>RT_PX_CHG_PCT_1D</stp>
        <tr r="F121" s="2"/>
      </tp>
      <tp>
        <v>128.47</v>
        <stp/>
        <stp>BDP|15656924836783246461|22</stp>
        <stp>PHM UN Equity</stp>
        <stp>LAST_PRICE</stp>
        <tr r="B377" s="2"/>
        <tr r="C377" s="2"/>
        <tr r="D377" s="2"/>
        <tr r="E377" s="2"/>
      </tp>
      <tp>
        <v>2.7228000164031982</v>
        <stp/>
        <stp>BDP|3706338687731715877|22</stp>
        <stp>MRNA UW Equity</stp>
        <stp>RT_PX_CHG_PCT_1D</stp>
        <tr r="F326" s="2"/>
      </tp>
      <tp>
        <v>3.7121</v>
        <stp/>
        <stp>BDP|17771704398508454782|22</stp>
        <stp>BR UN Equity</stp>
        <stp>CHG_PCT_1M_RT</stp>
        <tr r="H71" s="2"/>
      </tp>
      <tp>
        <v>17.658300000000001</v>
        <stp/>
        <stp>BDP|16559074864018982058|22</stp>
        <stp>FI UN Equity</stp>
        <stp>CHG_PCT_3M_RT</stp>
        <tr r="I192" s="2"/>
      </tp>
      <tp>
        <v>0.82479999999999998</v>
        <stp/>
        <stp>BDP|15866717783615127724|22</stp>
        <stp>GS UN Equity</stp>
        <stp>CHG_PCT_1M_RT</stp>
        <tr r="H220" s="2"/>
      </tp>
      <tp>
        <v>-0.414000004529953</v>
        <stp/>
        <stp>BDP|8250499554599076634|22</stp>
        <stp>AMZN UW Equity</stp>
        <stp>RT_PX_CHG_PCT_1D</stp>
        <tr r="F37" s="2"/>
      </tp>
      <tp>
        <v>-1.2889000177383423</v>
        <stp/>
        <stp>BDP|9972926977527875637|22</stp>
        <stp>GNRC UN Equity</stp>
        <stp>RT_PX_CHG_PCT_1D</stp>
        <tr r="F214" s="2"/>
      </tp>
      <tp>
        <v>188.17</v>
        <stp/>
        <stp>BDP|17686064748379139613|22</stp>
        <stp>DLR UN Equity</stp>
        <stp>LAST_PRICE</stp>
        <tr r="E144" s="2"/>
        <tr r="D144" s="2"/>
        <tr r="B144" s="2"/>
        <tr r="C144" s="2"/>
      </tp>
      <tp>
        <v>11.202500000000001</v>
        <stp/>
        <stp>BDP|13717539854533157499|22</stp>
        <stp>GM UN Equity</stp>
        <stp>CHG_PCT_3M_RT</stp>
        <tr r="I213" s="2"/>
      </tp>
      <tp>
        <v>83.02</v>
        <stp/>
        <stp>BDP|13770762334067915993|22</stp>
        <stp>EIX UN Equity</stp>
        <stp>LAST_PRICE</stp>
        <tr r="C162" s="2"/>
        <tr r="B162" s="2"/>
        <tr r="D162" s="2"/>
        <tr r="E162" s="2"/>
      </tp>
      <tp>
        <v>3.4967999999999999</v>
        <stp/>
        <stp>BDP|2881670830773789422|22</stp>
        <stp>MEXBOL Index</stp>
        <stp>REALTIME_5_DAY_CHANGE_PERCENT</stp>
        <tr r="G510" s="2"/>
      </tp>
      <tp>
        <v>2360.58</v>
        <stp/>
        <stp>BDP|3637075710615781497|22</stp>
        <stp>KOSPI Index</stp>
        <stp>LAST_PRICE</stp>
        <tr r="D532" s="2"/>
        <tr r="E532" s="2"/>
        <tr r="B532" s="2"/>
        <tr r="C532" s="2"/>
      </tp>
      <tp>
        <v>40.2273</v>
        <stp/>
        <stp>BDP|4135322538676819591|22</stp>
        <stp>GWW UN Equity</stp>
        <stp>CHG_PCT_YTD_RT</stp>
        <tr r="J221" s="2"/>
      </tp>
      <tp>
        <v>285.02080000000001</v>
        <stp/>
        <stp>BDP|6629421696178383010|22</stp>
        <stp>VST UN Equity</stp>
        <stp>CHG_PCT_YTD_RT</stp>
        <tr r="J481" s="2"/>
      </tp>
      <tp>
        <v>-15.792400000000001</v>
        <stp/>
        <stp>BDP|2650459574923836075|22</stp>
        <stp>ARE UN Equity</stp>
        <stp>CHG_PCT_YTD_RT</stp>
        <tr r="J46" s="2"/>
      </tp>
      <tp>
        <v>141.43</v>
        <stp/>
        <stp>BDP|4622075929712603920|22</stp>
        <stp>ALLE UN Equity</stp>
        <stp>LAST_PRICE</stp>
        <tr r="D28" s="2"/>
        <tr r="E28" s="2"/>
        <tr r="B28" s="2"/>
        <tr r="C28" s="2"/>
      </tp>
      <tp>
        <v>8.3187999999999995</v>
        <stp/>
        <stp>BDP|7778653885922231722|22</stp>
        <stp>CME UW Equity</stp>
        <stp>CHG_PCT_3M_RT</stp>
        <tr r="I102" s="2"/>
      </tp>
      <tp>
        <v>1.1184000000000001</v>
        <stp/>
        <stp>BDP|3029913860833089337|22</stp>
        <stp>IPSA Index</stp>
        <stp>REALTIME_5_DAY_CHANGE_PERCENT</stp>
        <tr r="G512" s="2"/>
      </tp>
      <tp>
        <v>0.77959999999999996</v>
        <stp/>
        <stp>BDP|9535942513001889797|22</stp>
        <stp>ITW UN Equity</stp>
        <stp>CHG_PCT_1M_RT</stp>
        <tr r="H258" s="2"/>
      </tp>
      <tp>
        <v>37.119799999999998</v>
        <stp/>
        <stp>BDP|9461528341452534043|22</stp>
        <stp>CEG UW Equity</stp>
        <stp>CHG_PCT_3M_RT</stp>
        <tr r="I91" s="2"/>
      </tp>
      <tp>
        <v>-6.0037000000000003</v>
        <stp/>
        <stp>BDP|3086919518695358994|22</stp>
        <stp>BRO UN Equity</stp>
        <stp>CHG_PCT_1M_RT</stp>
        <tr r="H73" s="2"/>
      </tp>
      <tp>
        <v>2.1856000423431396</v>
        <stp/>
        <stp>BDP|15962677481639098525|22</stp>
        <stp>LVS UN Equity</stp>
        <stp>RT_PX_CHG_PCT_1D</stp>
        <tr r="F296" s="2"/>
      </tp>
      <tp>
        <v>-1.1914000511169434</v>
        <stp/>
        <stp>BDP|14142834224833011952|22</stp>
        <stp>COR UN Equity</stp>
        <stp>RT_PX_CHG_PCT_1D</stp>
        <tr r="F111" s="2"/>
      </tp>
      <tp>
        <v>29.180299999999999</v>
        <stp/>
        <stp>BDP|9367052442478697372|22</stp>
        <stp>CMI UN Equity</stp>
        <stp>CHG_PCT_3M_RT</stp>
        <tr r="I104" s="2"/>
      </tp>
      <tp>
        <v>-1.2958000000000001</v>
        <stp/>
        <stp>BDP|3675531067932587448|22</stp>
        <stp>AOS UN Equity</stp>
        <stp>CHG_PCT_1M_RT</stp>
        <tr r="H41" s="2"/>
      </tp>
      <tp>
        <v>3.0478999614715576</v>
        <stp/>
        <stp>BDP|14031260972395790792|22</stp>
        <stp>CNC UN Equity</stp>
        <stp>RT_PX_CHG_PCT_1D</stp>
        <tr r="F106" s="2"/>
      </tp>
      <tp>
        <v>-0.12200000137090683</v>
        <stp/>
        <stp>BDP|18360702768420497532|22</stp>
        <stp>EQR UN Equity</stp>
        <stp>RT_PX_CHG_PCT_1D</stp>
        <tr r="F171" s="2"/>
      </tp>
      <tp>
        <v>1.6809999942779541</v>
        <stp/>
        <stp>BDP|10136769666338469514|22</stp>
        <stp>MOS UN Equity</stp>
        <stp>RT_PX_CHG_PCT_1D</stp>
        <tr r="F322" s="2"/>
      </tp>
      <tp>
        <v>-4.9356</v>
        <stp/>
        <stp>BDP|1817827922951420055|22</stp>
        <stp>PHM UN Equity</stp>
        <stp>REALTIME_5_DAY_CHANGE_PERCENT</stp>
        <tr r="G377" s="2"/>
      </tp>
      <tp>
        <v>-0.2298</v>
        <stp/>
        <stp>BDP|3629795016126424956|22</stp>
        <stp>TJX UN Equity</stp>
        <stp>REALTIME_5_DAY_CHANGE_PERCENT</stp>
        <tr r="G446" s="2"/>
      </tp>
      <tp>
        <v>-1.6545000000000001</v>
        <stp/>
        <stp>BDP|2063706395087343809|22</stp>
        <stp>PCG UN Equity</stp>
        <stp>REALTIME_5_DAY_CHANGE_PERCENT</stp>
        <tr r="G369" s="2"/>
      </tp>
      <tp>
        <v>-1.0902000000000001</v>
        <stp/>
        <stp>BDP|6006788206994637741|22</stp>
        <stp>JBL UN Equity</stp>
        <stp>CHG_PCT_1M_RT</stp>
        <tr r="H262" s="2"/>
      </tp>
      <tp>
        <v>39.854599999999998</v>
        <stp/>
        <stp>BDP|7469520409859699724|22</stp>
        <stp>ALB UN Equity</stp>
        <stp>CHG_PCT_3M_RT</stp>
        <tr r="I25" s="2"/>
      </tp>
      <tp>
        <v>-5.6388999999999996</v>
        <stp/>
        <stp>BDP|6443850046870567623|22</stp>
        <stp>CSX UW Equity</stp>
        <stp>CHG_PCT_1M_RT</stp>
        <tr r="H122" s="2"/>
      </tp>
      <tp>
        <v>5.1753999999999998</v>
        <stp/>
        <stp>BDP|3753631522512606033|22</stp>
        <stp>ACN UN Equity</stp>
        <stp>CHG_PCT_3M_RT</stp>
        <tr r="I11" s="2"/>
      </tp>
      <tp>
        <v>-1.3666000366210938</v>
        <stp/>
        <stp>BDP|17918717607143250129|22</stp>
        <stp>DVA UN Equity</stp>
        <stp>RT_PX_CHG_PCT_1D</stp>
        <tr r="F153" s="2"/>
      </tp>
      <tp>
        <v>-1.1078000068664551</v>
        <stp/>
        <stp>BDP|14475890959667881092|22</stp>
        <stp>EIX UN Equity</stp>
        <stp>RT_PX_CHG_PCT_1D</stp>
        <tr r="F162" s="2"/>
      </tp>
      <tp>
        <v>2.0204000473022461</v>
        <stp/>
        <stp>BDP|18422527707255627424|22</stp>
        <stp>BA UN Equity</stp>
        <stp>RT_PX_CHG_PCT_1D</stp>
        <tr r="F55" s="2"/>
      </tp>
      <tp>
        <v>217.47</v>
        <stp/>
        <stp>BDP|10227770976942874194|22</stp>
        <stp>WM UN Equity</stp>
        <stp>LAST_PRICE</stp>
        <tr r="E493" s="2"/>
        <tr r="B493" s="2"/>
        <tr r="C493" s="2"/>
        <tr r="D493" s="2"/>
      </tp>
      <tp>
        <v>14.102</v>
        <stp/>
        <stp>BDP|12490860413516692755|22</stp>
        <stp>RF UN Equity</stp>
        <stp>CHG_PCT_3M_RT</stp>
        <tr r="I400" s="2"/>
      </tp>
      <tp>
        <v>134.27000000000001</v>
        <stp/>
        <stp>BDP|17180181935196100008|22</stp>
        <stp>JBL UN Equity</stp>
        <stp>LAST_PRICE</stp>
        <tr r="B262" s="2"/>
        <tr r="E262" s="2"/>
        <tr r="C262" s="2"/>
        <tr r="D262" s="2"/>
      </tp>
      <tp>
        <v>-2.1872999668121338</v>
        <stp/>
        <stp>BDP|6468349452878587939|22</stp>
        <stp>FTNT UW Equity</stp>
        <stp>RT_PX_CHG_PCT_1D</stp>
        <tr r="F201" s="2"/>
      </tp>
      <tp>
        <v>176.76</v>
        <stp/>
        <stp>BDP|13360933911694672873|22</stp>
        <stp>DFS UN Equity</stp>
        <stp>LAST_PRICE</stp>
        <tr r="C138" s="2"/>
        <tr r="B138" s="2"/>
        <tr r="D138" s="2"/>
        <tr r="E138" s="2"/>
      </tp>
      <tp>
        <v>0.59729999303817749</v>
        <stp/>
        <stp>BDP|1881082429164871708|22</stp>
        <stp>HOLX UW Equity</stp>
        <stp>RT_PX_CHG_PCT_1D</stp>
        <tr r="F231" s="2"/>
      </tp>
      <tp>
        <v>1.6703000068664551</v>
        <stp/>
        <stp>BDP|4348684080306288681|22</stp>
        <stp>JNPR UN Equity</stp>
        <stp>RT_PX_CHG_PCT_1D</stp>
        <tr r="F266" s="2"/>
      </tp>
      <tp>
        <v>5.7354000000000003</v>
        <stp/>
        <stp>BDP|17986409003079781329|22</stp>
        <stp>HD UN Equity</stp>
        <stp>CHG_PCT_1M_RT</stp>
        <tr r="H226" s="2"/>
      </tp>
      <tp>
        <v>65.739999999999995</v>
        <stp/>
        <stp>BDP|7697215567891250862|22</stp>
        <stp>UBER UN Equity</stp>
        <stp>LAST_PRICE</stp>
        <tr r="D464" s="2"/>
        <tr r="E464" s="2"/>
        <tr r="B464" s="2"/>
        <tr r="C464" s="2"/>
      </tp>
      <tp>
        <v>226.09</v>
        <stp/>
        <stp>BDP|7666121587103379720|22</stp>
        <stp>AMZN UW Equity</stp>
        <stp>LAST_PRICE</stp>
        <tr r="C37" s="2"/>
        <tr r="D37" s="2"/>
        <tr r="E37" s="2"/>
        <tr r="B37" s="2"/>
      </tp>
      <tp>
        <v>-3.8069000000000002</v>
        <stp/>
        <stp>BDP|11279081615213472147|22</stp>
        <stp>D UN Equity</stp>
        <stp>CHG_PCT_1M_RT</stp>
        <tr r="H131" s="2"/>
      </tp>
      <tp>
        <v>5.6162999999999998</v>
        <stp/>
        <stp>BDP|11206566360848929228|22</stp>
        <stp>L UN Equity</stp>
        <stp>CHG_PCT_3M_RT</stp>
        <tr r="I282" s="2"/>
      </tp>
      <tp>
        <v>2227.11</v>
        <stp/>
        <stp>BDP|2978924734626572986|22</stp>
        <stp>FICO UN Equity</stp>
        <stp>LAST_PRICE</stp>
        <tr r="C193" s="2"/>
        <tr r="D193" s="2"/>
        <tr r="E193" s="2"/>
        <tr r="B193" s="2"/>
      </tp>
      <tp>
        <v>2.2740999999999998</v>
        <stp/>
        <stp>BDP|16989060065383227571|22</stp>
        <stp>L UN Equity</stp>
        <stp>CHG_PCT_1M_RT</stp>
        <tr r="H282" s="2"/>
      </tp>
      <tp>
        <v>-0.59340000152587891</v>
        <stp/>
        <stp>BDP|10697269177771454928|22</stp>
        <stp>TDY UN Equity</stp>
        <stp>RT_PX_CHG_PCT_1D</stp>
        <tr r="F439" s="2"/>
      </tp>
      <tp>
        <v>37.924999999999997</v>
        <stp/>
        <stp>BDP|3610653589500288243|22</stp>
        <stp>LVS UN Equity</stp>
        <stp>CHG_PCT_3M_RT</stp>
        <tr r="I296" s="2"/>
      </tp>
      <tp>
        <v>-2.6812999248504639</v>
        <stp/>
        <stp>BDP|13208053212996664486|22</stp>
        <stp>URI UN Equity</stp>
        <stp>RT_PX_CHG_PCT_1D</stp>
        <tr r="F471" s="2"/>
      </tp>
      <tp>
        <v>1.4280999999999999</v>
        <stp/>
        <stp>BDP|9296227862935424127|22</stp>
        <stp>STT UN Equity</stp>
        <stp>REALTIME_5_DAY_CHANGE_PERCENT</stp>
        <tr r="G427" s="2"/>
      </tp>
      <tp>
        <v>1.1952</v>
        <stp/>
        <stp>BDP|1873144650410386785|22</stp>
        <stp>CPT UN Equity</stp>
        <stp>CHG_PCT_3M_RT</stp>
        <tr r="I116" s="2"/>
      </tp>
      <tp>
        <v>0.75790000000000002</v>
        <stp/>
        <stp>BDP|6059428857394288795|22</stp>
        <stp>ZTS UN Equity</stp>
        <stp>REALTIME_5_DAY_CHANGE_PERCENT</stp>
        <tr r="G507" s="2"/>
      </tp>
      <tp>
        <v>10.235099999999999</v>
        <stp/>
        <stp>BDP|7248282752324994743|22</stp>
        <stp>HSY UN Equity</stp>
        <stp>CHG_PCT_1M_RT</stp>
        <tr r="H238" s="2"/>
      </tp>
      <tp>
        <v>7.6128</v>
        <stp/>
        <stp>BDP|3989997986739456817|22</stp>
        <stp>DRI UN Equity</stp>
        <stp>CHG_PCT_3M_RT</stp>
        <tr r="I150" s="2"/>
      </tp>
      <tp>
        <v>11.7227</v>
        <stp/>
        <stp>BDP|9273531463065772167|22</stp>
        <stp>BXP UN Equity</stp>
        <stp>CHG_PCT_3M_RT</stp>
        <tr r="I77" s="2"/>
      </tp>
      <tp>
        <v>-3.6634000000000002</v>
        <stp/>
        <stp>BDP|5852844851568671817|22</stp>
        <stp>WDC UW Equity</stp>
        <stp>REALTIME_5_DAY_CHANGE_PERCENT</stp>
        <tr r="G489" s="2"/>
      </tp>
      <tp>
        <v>6.2799999999999995E-2</v>
        <stp/>
        <stp>BDP|6677047257215843967|22</stp>
        <stp>FDS UN Equity</stp>
        <stp>CHG_PCT_1M_RT</stp>
        <tr r="H188" s="2"/>
      </tp>
      <tp>
        <v>26.923300000000001</v>
        <stp/>
        <stp>BDP|8450559144118600268|22</stp>
        <stp>AMP UN Equity</stp>
        <stp>CHG_PCT_3M_RT</stp>
        <tr r="I34" s="2"/>
      </tp>
      <tp>
        <v>-0.48470000000000002</v>
        <stp/>
        <stp>BDP|7852560897886862912|22</stp>
        <stp>IBOV Index</stp>
        <stp>CHG_PCT_1M_RT</stp>
        <tr r="H511" s="2"/>
      </tp>
      <tp>
        <v>8.7464999999999993</v>
        <stp/>
        <stp>BDP|4992894394241765424|22</stp>
        <stp>ALB UN Equity</stp>
        <stp>CHG_PCT_1M_RT</stp>
        <tr r="H25" s="2"/>
      </tp>
      <tp>
        <v>-2.6719999313354492</v>
        <stp/>
        <stp>BDP|14632489438596619374|22</stp>
        <stp>AON UN Equity</stp>
        <stp>RT_PX_CHG_PCT_1D</stp>
        <tr r="F40" s="2"/>
      </tp>
      <tp>
        <v>2.2048999999999999</v>
        <stp/>
        <stp>BDP|2398251555187685929|22</stp>
        <stp>APA UW Equity</stp>
        <stp>CHG_PCT_1M_RT</stp>
        <tr r="H42" s="2"/>
      </tp>
      <tp>
        <v>1.0844</v>
        <stp/>
        <stp>BDP|7608212478805936257|22</stp>
        <stp>PFE UN Equity</stp>
        <stp>REALTIME_5_DAY_CHANGE_PERCENT</stp>
        <tr r="G372" s="2"/>
      </tp>
      <tp>
        <v>-2.5</v>
        <stp/>
        <stp>BDP|12478344698439286095|22</stp>
        <stp>CZR UW Equity</stp>
        <stp>RT_PX_CHG_PCT_1D</stp>
        <tr r="F130" s="2"/>
      </tp>
      <tp>
        <v>-1.3698999999999999</v>
        <stp/>
        <stp>BDP|6507745232266627810|22</stp>
        <stp>EMN UN Equity</stp>
        <stp>CHG_PCT_1M_RT</stp>
        <tr r="H165" s="2"/>
      </tp>
      <tp>
        <v>6.3247999999999998</v>
        <stp/>
        <stp>BDP|6891569627602037985|22</stp>
        <stp>ALL UN Equity</stp>
        <stp>CHG_PCT_3M_RT</stp>
        <tr r="I27" s="2"/>
      </tp>
      <tp>
        <v>1.2684</v>
        <stp/>
        <stp>BDP|7029625694465914876|22</stp>
        <stp>WAT UN Equity</stp>
        <stp>REALTIME_5_DAY_CHANGE_PERCENT</stp>
        <tr r="G486" s="2"/>
      </tp>
      <tp>
        <v>3.1918000000000002</v>
        <stp/>
        <stp>BDP|1033783493264753141|22</stp>
        <stp>CNP UN Equity</stp>
        <stp>CHG_PCT_1M_RT</stp>
        <tr r="H107" s="2"/>
      </tp>
      <tp>
        <v>31.74</v>
        <stp/>
        <stp>BDP|10541623159882057839|22</stp>
        <stp>WY UN Equity</stp>
        <stp>LAST_PRICE</stp>
        <tr r="C499" s="2"/>
        <tr r="D499" s="2"/>
        <tr r="E499" s="2"/>
        <tr r="B499" s="2"/>
      </tp>
      <tp>
        <v>-0.47729998826980591</v>
        <stp/>
        <stp>BDP|10307951067899662338|22</stp>
        <stp>GL UN Equity</stp>
        <stp>RT_PX_CHG_PCT_1D</stp>
        <tr r="F211" s="2"/>
      </tp>
      <tp>
        <v>-0.83829998970031738</v>
        <stp/>
        <stp>BDP|10061077719564898120|22</stp>
        <stp>EA UW Equity</stp>
        <stp>RT_PX_CHG_PCT_1D</stp>
        <tr r="F156" s="2"/>
      </tp>
      <tp>
        <v>37.44</v>
        <stp/>
        <stp>BDP|18240525531909641460|22</stp>
        <stp>EXC UW Equity</stp>
        <stp>LAST_PRICE</stp>
        <tr r="D180" s="2"/>
        <tr r="E180" s="2"/>
        <tr r="B180" s="2"/>
        <tr r="C180" s="2"/>
      </tp>
      <tp>
        <v>199.04</v>
        <stp/>
        <stp>BDP|11833128739714982901|22</stp>
        <stp>ALL UN Equity</stp>
        <stp>LAST_PRICE</stp>
        <tr r="E27" s="2"/>
        <tr r="B27" s="2"/>
        <tr r="C27" s="2"/>
        <tr r="D27" s="2"/>
      </tp>
      <tp>
        <v>109.47</v>
        <stp/>
        <stp>BDP|12661398215899400918|22</stp>
        <stp>ZBH UN Equity</stp>
        <stp>LAST_PRICE</stp>
        <tr r="E505" s="2"/>
        <tr r="B505" s="2"/>
        <tr r="C505" s="2"/>
        <tr r="D505" s="2"/>
      </tp>
      <tp>
        <v>1379.45</v>
        <stp/>
        <stp>BDP|18112877694680770008|22</stp>
        <stp>COLCAP Index</stp>
        <stp>LAST_PRICE</stp>
        <tr r="E513" s="2"/>
        <tr r="B513" s="2"/>
        <tr r="C513" s="2"/>
        <tr r="D513" s="2"/>
      </tp>
      <tp>
        <v>367.9</v>
        <stp/>
        <stp>BDP|18427748532007001659|22</stp>
        <stp>AON UN Equity</stp>
        <stp>LAST_PRICE</stp>
        <tr r="D40" s="2"/>
        <tr r="E40" s="2"/>
        <tr r="B40" s="2"/>
        <tr r="C40" s="2"/>
      </tp>
      <tp>
        <v>-0.49939998984336853</v>
        <stp/>
        <stp>BDP|8867865837426667004|22</stp>
        <stp>CPRT UW Equity</stp>
        <stp>RT_PX_CHG_PCT_1D</stp>
        <tr r="F115" s="2"/>
      </tp>
      <tp>
        <v>2.2465999126434326</v>
        <stp/>
        <stp>BDP|1345759268866909500|22</stp>
        <stp>ALGN UW Equity</stp>
        <stp>RT_PX_CHG_PCT_1D</stp>
        <tr r="F26" s="2"/>
      </tp>
      <tp>
        <v>0.56730002164840698</v>
        <stp/>
        <stp>BDP|4375551453446035857|22</stp>
        <stp>INVH UN Equity</stp>
        <stp>RT_PX_CHG_PCT_1D</stp>
        <tr r="F250" s="2"/>
      </tp>
      <tp>
        <v>167.4</v>
        <stp/>
        <stp>BDP|17117555488564290084|22</stp>
        <stp>CLX UN Equity</stp>
        <stp>LAST_PRICE</stp>
        <tr r="D100" s="2"/>
        <tr r="E100" s="2"/>
        <tr r="B100" s="2"/>
        <tr r="C100" s="2"/>
      </tp>
      <tp>
        <v>0.87070000000000003</v>
        <stp/>
        <stp>BDP|10001823759286740136|22</stp>
        <stp>GL UN Equity</stp>
        <stp>CHG_PCT_3M_RT</stp>
        <tr r="I211" s="2"/>
      </tp>
      <tp>
        <v>21.603899999999999</v>
        <stp/>
        <stp>BDP|13111705055193357973|22</stp>
        <stp>GS UN Equity</stp>
        <stp>CHG_PCT_3M_RT</stp>
        <tr r="I220" s="2"/>
      </tp>
      <tp>
        <v>-19.734300000000001</v>
        <stp/>
        <stp>BDP|7027140994513867369|22</stp>
        <stp>CDW UW Equity</stp>
        <stp>CHG_PCT_YTD_RT</stp>
        <tr r="J89" s="2"/>
      </tp>
      <tp>
        <v>30.2775</v>
        <stp/>
        <stp>BDP|6818524660093004204|22</stp>
        <stp>NVR UN Equity</stp>
        <stp>CHG_PCT_YTD_RT</stp>
        <tr r="J351" s="2"/>
      </tp>
      <tp>
        <v>-10.7788</v>
        <stp/>
        <stp>BDP|6235599503558632871|22</stp>
        <stp>IQV UN Equity</stp>
        <stp>CHG_PCT_YTD_RT</stp>
        <tr r="J253" s="2"/>
      </tp>
      <tp>
        <v>987.86</v>
        <stp/>
        <stp>BDP|4314141468551562223|22</stp>
        <stp>COST UW Equity</stp>
        <stp>LAST_PRICE</stp>
        <tr r="E112" s="2"/>
        <tr r="D112" s="2"/>
        <tr r="B112" s="2"/>
        <tr r="C112" s="2"/>
      </tp>
      <tp>
        <v>203.39</v>
        <stp/>
        <stp>BDP|4291525123184441714|22</stp>
        <stp>GDDY UN Equity</stp>
        <stp>LAST_PRICE</stp>
        <tr r="D204" s="2"/>
        <tr r="E204" s="2"/>
        <tr r="B204" s="2"/>
        <tr r="C204" s="2"/>
      </tp>
      <tp>
        <v>10.829700000000001</v>
        <stp/>
        <stp>BDP|6019456765766598227|22</stp>
        <stp>FRT UN Equity</stp>
        <stp>CHG_PCT_YTD_RT</stp>
        <tr r="J199" s="2"/>
      </tp>
      <tp>
        <v>201.55</v>
        <stp/>
        <stp>BDP|2794339384787126504|22</stp>
        <stp>DECK UN Equity</stp>
        <stp>LAST_PRICE</stp>
        <tr r="E136" s="2"/>
        <tr r="D136" s="2"/>
        <tr r="B136" s="2"/>
        <tr r="C136" s="2"/>
      </tp>
      <tp>
        <v>-0.51849999999999996</v>
        <stp/>
        <stp>BDP|14660144718397524831|22</stp>
        <stp>K UN Equity</stp>
        <stp>CHG_PCT_1M_RT</stp>
        <tr r="H268" s="2"/>
      </tp>
      <tp>
        <v>27.671099999999999</v>
        <stp/>
        <stp>BDP|6135194810880834493|22</stp>
        <stp>SPG UN Equity</stp>
        <stp>CHG_PCT_YTD_RT</stp>
        <tr r="J422" s="2"/>
      </tp>
      <tp>
        <v>-21.611499999999999</v>
        <stp/>
        <stp>BDP|4071509328086674136|22</stp>
        <stp>DVN UN Equity</stp>
        <stp>CHG_PCT_YTD_RT</stp>
        <tr r="J154" s="2"/>
      </tp>
      <tp>
        <v>-7.1691000000000003</v>
        <stp/>
        <stp>BDP|3730361615677955499|22</stp>
        <stp>IPG UN Equity</stp>
        <stp>CHG_PCT_YTD_RT</stp>
        <tr r="J252" s="2"/>
      </tp>
      <tp>
        <v>-4.7232000000000003</v>
        <stp/>
        <stp>BDP|3132937593281935914|22</stp>
        <stp>HSY UN Equity</stp>
        <stp>CHG_PCT_3M_RT</stp>
        <tr r="I238" s="2"/>
      </tp>
      <tp>
        <v>1.17E-2</v>
        <stp/>
        <stp>BDP|5763548372855509887|22</stp>
        <stp>NSC UN Equity</stp>
        <stp>CHG_PCT_3M_RT</stp>
        <tr r="I346" s="2"/>
      </tp>
      <tp>
        <v>2.3247001171112061</v>
        <stp/>
        <stp>BDP|13832831937434989187|22</stp>
        <stp>UPS UN Equity</stp>
        <stp>RT_PX_CHG_PCT_1D</stp>
        <tr r="F470" s="2"/>
      </tp>
      <tp>
        <v>-14.2271</v>
        <stp/>
        <stp>BDP|9979607667919148909|22</stp>
        <stp>DVN UN Equity</stp>
        <stp>CHG_PCT_3M_RT</stp>
        <tr r="I154" s="2"/>
      </tp>
      <tp>
        <v>-2.9937999999999998</v>
        <stp/>
        <stp>BDP|4451379771018684873|22</stp>
        <stp>ADI UW Equity</stp>
        <stp>CHG_PCT_1M_RT</stp>
        <tr r="H13" s="2"/>
      </tp>
      <tp>
        <v>-2.3333001136779785</v>
        <stp/>
        <stp>BDP|11035112760595851248|22</stp>
        <stp>PEG UN Equity</stp>
        <stp>RT_PX_CHG_PCT_1D</stp>
        <tr r="F370" s="2"/>
      </tp>
      <tp>
        <v>5.3300999999999998</v>
        <stp/>
        <stp>BDP|6759662863654841474|22</stp>
        <stp>GPN UN Equity</stp>
        <stp>CHG_PCT_1M_RT</stp>
        <tr r="H218" s="2"/>
      </tp>
      <tp>
        <v>23.293099999999999</v>
        <stp/>
        <stp>BDP|8939975645914232607|22</stp>
        <stp>NRG UN Equity</stp>
        <stp>CHG_PCT_3M_RT</stp>
        <tr r="I345" s="2"/>
      </tp>
      <tp>
        <v>-4.7361000000000004</v>
        <stp/>
        <stp>BDP|1168325584121136511|22</stp>
        <stp>PEG UN Equity</stp>
        <stp>REALTIME_5_DAY_CHANGE_PERCENT</stp>
        <tr r="G370" s="2"/>
      </tp>
      <tp>
        <v>-1.0099999904632568</v>
        <stp/>
        <stp>BDP|14080495586461389608|22</stp>
        <stp>JBL UN Equity</stp>
        <stp>RT_PX_CHG_PCT_1D</stp>
        <tr r="F262" s="2"/>
      </tp>
      <tp>
        <v>1.2845</v>
        <stp/>
        <stp>BDP|4741404530132939509|22</stp>
        <stp>WMT UN Equity</stp>
        <stp>REALTIME_5_DAY_CHANGE_PERCENT</stp>
        <tr r="G495" s="2"/>
      </tp>
      <tp>
        <v>14.4108</v>
        <stp/>
        <stp>BDP|5493617277030253450|22</stp>
        <stp>CNP UN Equity</stp>
        <stp>CHG_PCT_3M_RT</stp>
        <tr r="I107" s="2"/>
      </tp>
      <tp>
        <v>-0.21410000324249268</v>
        <stp/>
        <stp>BDP|17088069016499580164|22</stp>
        <stp>DUK UN Equity</stp>
        <stp>RT_PX_CHG_PCT_1D</stp>
        <tr r="F152" s="2"/>
      </tp>
      <tp>
        <v>-1.9431</v>
        <stp/>
        <stp>BDP|6951045263774502573|22</stp>
        <stp>DOC UN Equity</stp>
        <stp>CHG_PCT_3M_RT</stp>
        <tr r="I146" s="2"/>
      </tp>
      <tp>
        <v>-3.5335000000000001</v>
        <stp/>
        <stp>BDP|1804581343413278949|22</stp>
        <stp>WFC UN Equity</stp>
        <stp>REALTIME_5_DAY_CHANGE_PERCENT</stp>
        <tr r="G492" s="2"/>
      </tp>
      <tp>
        <v>-0.52610000000000001</v>
        <stp/>
        <stp>BDP|4096824745416421654|22</stp>
        <stp>CHD UN Equity</stp>
        <stp>CHG_PCT_1M_RT</stp>
        <tr r="H94" s="2"/>
      </tp>
      <tp>
        <v>3.55430006980896</v>
        <stp/>
        <stp>BDP|14059797878945230411|22</stp>
        <stp>IPG UN Equity</stp>
        <stp>RT_PX_CHG_PCT_1D</stp>
        <tr r="F252" s="2"/>
      </tp>
      <tp>
        <v>2.7955999999999999</v>
        <stp/>
        <stp>BDP|7410459971067380704|22</stp>
        <stp>MCO UN Equity</stp>
        <stp>CHG_PCT_1M_RT</stp>
        <tr r="H307" s="2"/>
      </tp>
      <tp>
        <v>-4.8358999999999996</v>
        <stp/>
        <stp>BDP|7292725997286799267|22</stp>
        <stp>SHW UN Equity</stp>
        <stp>REALTIME_5_DAY_CHANGE_PERCENT</stp>
        <tr r="G414" s="2"/>
      </tp>
      <tp>
        <v>84.31</v>
        <stp/>
        <stp>BDP|14304530124745599853|22</stp>
        <stp>SO UN Equity</stp>
        <stp>LAST_PRICE</stp>
        <tr r="C420" s="2"/>
        <tr r="D420" s="2"/>
        <tr r="E420" s="2"/>
        <tr r="B420" s="2"/>
      </tp>
      <tp>
        <v>0.1371</v>
        <stp/>
        <stp>BDP|845552987321002901|22</stp>
        <stp>SPTSX Index</stp>
        <stp>REALTIME_5_DAY_CHANGE_PERCENT</stp>
        <tr r="G509" s="2"/>
      </tp>
      <tp>
        <v>479.17</v>
        <stp/>
        <stp>BDP|11093507180427619762|22</stp>
        <stp>NOC UN Equity</stp>
        <stp>LAST_PRICE</stp>
        <tr r="D343" s="2"/>
        <tr r="E343" s="2"/>
        <tr r="B343" s="2"/>
        <tr r="C343" s="2"/>
      </tp>
      <tp>
        <v>72.62</v>
        <stp/>
        <stp>BDP|10449337864043112347|22</stp>
        <stp>WFC UN Equity</stp>
        <stp>LAST_PRICE</stp>
        <tr r="B492" s="2"/>
        <tr r="C492" s="2"/>
        <tr r="D492" s="2"/>
        <tr r="E492" s="2"/>
      </tp>
      <tp>
        <v>16.686499999999999</v>
        <stp/>
        <stp>BDP|433482268586845552|22</stp>
        <stp>CSCO UW Equity</stp>
        <stp>CHG_PCT_YTD_RT</stp>
        <tr r="J120" s="2"/>
      </tp>
      <tp>
        <v>522.82000000000005</v>
        <stp/>
        <stp>BDP|195035710958754340|22</stp>
        <stp>MA UN Equity</stp>
        <stp>LAST_PRICE</stp>
        <tr r="D300" s="2"/>
        <tr r="E300" s="2"/>
        <tr r="C300" s="2"/>
        <tr r="B300" s="2"/>
      </tp>
      <tp>
        <v>-6.8884000778198242</v>
        <stp/>
        <stp>BDP|7011684923476134217|22</stp>
        <stp>CTAS UW Equity</stp>
        <stp>RT_PX_CHG_PCT_1D</stp>
        <tr r="F123" s="2"/>
      </tp>
      <tp>
        <v>0.88779997825622559</v>
        <stp/>
        <stp>BDP|2998118744709113627|22</stp>
        <stp>DXCM UW Equity</stp>
        <stp>RT_PX_CHG_PCT_1D</stp>
        <tr r="F155" s="2"/>
      </tp>
      <tp>
        <v>1.0346000194549561</v>
        <stp/>
        <stp>BDP|1066202052610845335|22</stp>
        <stp>JKHY UW Equity</stp>
        <stp>RT_PX_CHG_PCT_1D</stp>
        <tr r="F264" s="2"/>
      </tp>
      <tp>
        <v>23.4922</v>
        <stp/>
        <stp>BDP|16230677498682765366|22</stp>
        <stp>LW UN Equity</stp>
        <stp>CHG_PCT_3M_RT</stp>
        <tr r="I297" s="2"/>
      </tp>
      <tp>
        <v>12.4251</v>
        <stp/>
        <stp>BDP|14432986106462040927|22</stp>
        <stp>CF UN Equity</stp>
        <stp>CHG_PCT_3M_RT</stp>
        <tr r="I92" s="2"/>
      </tp>
      <tp>
        <v>11.160299999999999</v>
        <stp/>
        <stp>BDP|12678140865743613973|22</stp>
        <stp>KR UN Equity</stp>
        <stp>CHG_PCT_3M_RT</stp>
        <tr r="I280" s="2"/>
      </tp>
      <tp>
        <v>1.7793000000000001</v>
        <stp/>
        <stp>BDP|16273303633353001085|22</stp>
        <stp>NI UN Equity</stp>
        <stp>CHG_PCT_1M_RT</stp>
        <tr r="H341" s="2"/>
      </tp>
      <tp>
        <v>-2.8440001010894775</v>
        <stp/>
        <stp>BDP|5902974921904381430|22</stp>
        <stp>BKNG UW Equity</stp>
        <stp>RT_PX_CHG_PCT_1D</stp>
        <tr r="F66" s="2"/>
      </tp>
      <tp>
        <v>83.96</v>
        <stp/>
        <stp>BDP|15405695153649399874|22</stp>
        <stp>MDT UN Equity</stp>
        <stp>LAST_PRICE</stp>
        <tr r="C309" s="2"/>
        <tr r="D309" s="2"/>
        <tr r="B309" s="2"/>
        <tr r="E309" s="2"/>
      </tp>
      <tp>
        <v>4.6307999999999998</v>
        <stp/>
        <stp>BDP|5017999893612728039|22</stp>
        <stp>ITW UN Equity</stp>
        <stp>CHG_PCT_YTD_RT</stp>
        <tr r="J258" s="2"/>
      </tp>
      <tp>
        <v>108.14</v>
        <stp/>
        <stp>BDP|3139398021775699379|22</stp>
        <stp>CHRW UW Equity</stp>
        <stp>LAST_PRICE</stp>
        <tr r="B95" s="2"/>
        <tr r="E95" s="2"/>
        <tr r="C95" s="2"/>
        <tr r="D95" s="2"/>
      </tp>
      <tp>
        <v>609.66999999999996</v>
        <stp/>
        <stp>BDP|9684307299321336219|22</stp>
        <stp>MPWR UW Equity</stp>
        <stp>LAST_PRICE</stp>
        <tr r="C324" s="2"/>
        <tr r="D324" s="2"/>
        <tr r="E324" s="2"/>
        <tr r="B324" s="2"/>
      </tp>
      <tp>
        <v>47.801200000000001</v>
        <stp/>
        <stp>BDP|9675808628066992207|22</stp>
        <stp>ETR UN Equity</stp>
        <stp>CHG_PCT_YTD_RT</stp>
        <tr r="J177" s="2"/>
      </tp>
      <tp>
        <v>190.45</v>
        <stp/>
        <stp>BDP|3070441765988243539|22</stp>
        <stp>ORCL UN Equity</stp>
        <stp>LAST_PRICE</stp>
        <tr r="C360" s="2"/>
        <tr r="D360" s="2"/>
        <tr r="E360" s="2"/>
        <tr r="B360" s="2"/>
      </tp>
      <tp>
        <v>0.51139999999999997</v>
        <stp/>
        <stp>BDP|17858246947576127972|22</stp>
        <stp>K UN Equity</stp>
        <stp>CHG_PCT_3M_RT</stp>
        <tr r="I268" s="2"/>
      </tp>
      <tp>
        <v>6.4442000000000004</v>
        <stp/>
        <stp>BDP|5422502484876530847|22</stp>
        <stp>YUM UN Equity</stp>
        <stp>CHG_PCT_YTD_RT</stp>
        <tr r="J504" s="2"/>
      </tp>
      <tp>
        <v>-4.7972999999999999</v>
        <stp/>
        <stp>BDP|9025957653035894191|22</stp>
        <stp>MRK UN Equity</stp>
        <stp>CHG_PCT_YTD_RT</stp>
        <tr r="J325" s="2"/>
      </tp>
      <tp>
        <v>-15.1722</v>
        <stp/>
        <stp>BDP|2892439802270351534|22</stp>
        <stp>PPG UN Equity</stp>
        <stp>CHG_PCT_YTD_RT</stp>
        <tr r="J387" s="2"/>
      </tp>
      <tp>
        <v>223.61</v>
        <stp/>
        <stp>BDP|5377073433753832458|22</stp>
        <stp>NXPI UW Equity</stp>
        <stp>LAST_PRICE</stp>
        <tr r="E354" s="2"/>
        <tr r="B354" s="2"/>
        <tr r="C354" s="2"/>
        <tr r="D354" s="2"/>
      </tp>
      <tp>
        <v>-3.5343999862670898</v>
        <stp/>
        <stp>BDP|12713418587643767481|22</stp>
        <stp>TRV UN Equity</stp>
        <stp>RT_PX_CHG_PCT_1D</stp>
        <tr r="F454" s="2"/>
      </tp>
      <tp>
        <v>-0.27820000052452087</v>
        <stp/>
        <stp>BDP|14062865674000280843|22</stp>
        <stp>TXT UN Equity</stp>
        <stp>RT_PX_CHG_PCT_1D</stp>
        <tr r="F461" s="2"/>
      </tp>
      <tp>
        <v>-3.1802000000000001</v>
        <stp/>
        <stp>BDP|9432080161568985315|22</stp>
        <stp>COR UN Equity</stp>
        <stp>CHG_PCT_1M_RT</stp>
        <tr r="H111" s="2"/>
      </tp>
      <tp>
        <v>-2.2539000511169434</v>
        <stp/>
        <stp>BDP|13586766133322066733|22</stp>
        <stp>CFG UN Equity</stp>
        <stp>RT_PX_CHG_PCT_1D</stp>
        <tr r="F93" s="2"/>
      </tp>
      <tp>
        <v>-0.38829999999999998</v>
        <stp/>
        <stp>BDP|1378828554686019481|22</stp>
        <stp>TAP UN Equity</stp>
        <stp>REALTIME_5_DAY_CHANGE_PERCENT</stp>
        <tr r="G437" s="2"/>
      </tp>
      <tp>
        <v>0.622</v>
        <stp/>
        <stp>BDP|5795335520033013249|22</stp>
        <stp>CSX UW Equity</stp>
        <stp>CHG_PCT_3M_RT</stp>
        <tr r="I122" s="2"/>
      </tp>
      <tp>
        <v>28.608799999999999</v>
        <stp/>
        <stp>BDP|1998444422164272498|22</stp>
        <stp>KKR UN Equity</stp>
        <stp>CHG_PCT_3M_RT</stp>
        <tr r="I274" s="2"/>
      </tp>
      <tp>
        <v>8.43E-2</v>
        <stp/>
        <stp>BDP|9457443761830345507|22</stp>
        <stp>ECL UN Equity</stp>
        <stp>CHG_PCT_3M_RT</stp>
        <tr r="I158" s="2"/>
      </tp>
      <tp>
        <v>14.0665</v>
        <stp/>
        <stp>BDP|4592765433815966218|22</stp>
        <stp>BEN UN Equity</stp>
        <stp>CHG_PCT_3M_RT</stp>
        <tr r="I61" s="2"/>
      </tp>
      <tp>
        <v>12.773199999999999</v>
        <stp/>
        <stp>BDP|2463871539735412047|22</stp>
        <stp>DOV UN Equity</stp>
        <stp>CHG_PCT_3M_RT</stp>
        <tr r="I147" s="2"/>
      </tp>
      <tp>
        <v>28.314399999999999</v>
        <stp/>
        <stp>BDP|6677906811122575264|22</stp>
        <stp>KMI UN Equity</stp>
        <stp>CHG_PCT_3M_RT</stp>
        <tr r="I277" s="2"/>
      </tp>
      <tp>
        <v>1.3317000000000001</v>
        <stp/>
        <stp>BDP|3213179194457047119|22</stp>
        <stp>CLX UN Equity</stp>
        <stp>CHG_PCT_3M_RT</stp>
        <tr r="I100" s="2"/>
      </tp>
      <tp>
        <v>11761.72</v>
        <stp/>
        <stp>BDP|8580636913795305787|22</stp>
        <stp>SMI Index</stp>
        <stp>LAST_PRICE</stp>
        <tr r="B525" s="2"/>
        <tr r="C525" s="2"/>
        <tr r="D525" s="2"/>
        <tr r="E525" s="2"/>
      </tp>
      <tp>
        <v>-6.1475999999999997</v>
        <stp/>
        <stp>BDP|6474346581552268484|22</stp>
        <stp>OMC UN Equity</stp>
        <stp>CHG_PCT_3M_RT</stp>
        <tr r="I358" s="2"/>
      </tp>
      <tp>
        <v>-0.28770000000000001</v>
        <stp/>
        <stp>BDP|1486464566326813557|22</stp>
        <stp>ADM UN Equity</stp>
        <stp>CHG_PCT_1M_RT</stp>
        <tr r="H14" s="2"/>
      </tp>
      <tp>
        <v>-2.7597999999999998</v>
        <stp/>
        <stp>BDP|7833578383214021447|22</stp>
        <stp>CNC UN Equity</stp>
        <stp>CHG_PCT_1M_RT</stp>
        <tr r="H106" s="2"/>
      </tp>
      <tp>
        <v>-2.025399923324585</v>
        <stp/>
        <stp>BDP|15470362093343676039|22</stp>
        <stp>LYV UN Equity</stp>
        <stp>RT_PX_CHG_PCT_1D</stp>
        <tr r="F299" s="2"/>
      </tp>
      <tp>
        <v>-2.1177000999450684</v>
        <stp/>
        <stp>BDP|10569033739493989108|22</stp>
        <stp>CB UN Equity</stp>
        <stp>RT_PX_CHG_PCT_1D</stp>
        <tr r="F83" s="2"/>
      </tp>
      <tp>
        <v>-2.4261999130249023</v>
        <stp/>
        <stp>BDP|16561724261370568058|22</stp>
        <stp>GE UN Equity</stp>
        <stp>RT_PX_CHG_PCT_1D</stp>
        <tr r="F205" s="2"/>
      </tp>
      <tp>
        <v>4.1906999999999996</v>
        <stp/>
        <stp>BDP|16024438732016759257|22</stp>
        <stp>SPBLPGPT Index</stp>
        <stp>CHG_PCT_3M_RT</stp>
        <tr r="I515" s="2"/>
      </tp>
      <tp>
        <v>-2.5571000576019287</v>
        <stp/>
        <stp>BDP|18159327432686687914|22</stp>
        <stp>TT UN Equity</stp>
        <stp>RT_PX_CHG_PCT_1D</stp>
        <tr r="F458" s="2"/>
      </tp>
      <tp>
        <v>1.7856999635696411</v>
        <stp/>
        <stp>BDP|15784249358884407393|22</stp>
        <stp>BG UN Equity</stp>
        <stp>RT_PX_CHG_PCT_1D</stp>
        <tr r="F63" s="2"/>
      </tp>
      <tp>
        <v>83.92</v>
        <stp/>
        <stp>BDP|11889524848196073994|22</stp>
        <stp>JCI UN Equity</stp>
        <stp>LAST_PRICE</stp>
        <tr r="D263" s="2"/>
        <tr r="E263" s="2"/>
        <tr r="B263" s="2"/>
        <tr r="C263" s="2"/>
      </tp>
      <tp>
        <v>204.5</v>
        <stp/>
        <stp>BDP|12196879696000731120|22</stp>
        <stp>PNC UN Equity</stp>
        <stp>LAST_PRICE</stp>
        <tr r="B382" s="2"/>
        <tr r="C382" s="2"/>
        <tr r="E382" s="2"/>
        <tr r="D382" s="2"/>
      </tp>
      <tp>
        <v>45.91</v>
        <stp/>
        <stp>BDP|11475151680860314574|22</stp>
        <stp>BAC UN Equity</stp>
        <stp>LAST_PRICE</stp>
        <tr r="D56" s="2"/>
        <tr r="E56" s="2"/>
        <tr r="B56" s="2"/>
        <tr r="C56" s="2"/>
      </tp>
      <tp>
        <v>247.14</v>
        <stp/>
        <stp>BDP|16669700118466629938|22</stp>
        <stp>RCL UN Equity</stp>
        <stp>LAST_PRICE</stp>
        <tr r="B397" s="2"/>
        <tr r="C397" s="2"/>
        <tr r="D397" s="2"/>
        <tr r="E397" s="2"/>
      </tp>
      <tp>
        <v>0.71299999952316284</v>
        <stp/>
        <stp>BDP|3302145788150492310|22</stp>
        <stp>EPAM UN Equity</stp>
        <stp>RT_PX_CHG_PCT_1D</stp>
        <tr r="F169" s="2"/>
      </tp>
      <tp>
        <v>151.5</v>
        <stp/>
        <stp>BDP|14237982891415904844|22</stp>
        <stp>TEL UN Equity</stp>
        <stp>LAST_PRICE</stp>
        <tr r="C441" s="2"/>
        <tr r="D441" s="2"/>
        <tr r="E441" s="2"/>
        <tr r="B441" s="2"/>
      </tp>
      <tp>
        <v>-0.13130000233650208</v>
        <stp/>
        <stp>BDP|6669500332052853089|22</stp>
        <stp>KVUE UN Equity</stp>
        <stp>RT_PX_CHG_PCT_1D</stp>
        <tr r="F281" s="2"/>
      </tp>
      <tp>
        <v>-2.4643000000000002</v>
        <stp/>
        <stp>BDP|13596345801947295121|22</stp>
        <stp>ON UW Equity</stp>
        <stp>CHG_PCT_3M_RT</stp>
        <tr r="I359" s="2"/>
      </tp>
      <tp>
        <v>-1.635200023651123</v>
        <stp/>
        <stp>BDP|6674016904746463992|22</stp>
        <stp>META UW Equity</stp>
        <stp>RT_PX_CHG_PCT_1D</stp>
        <tr r="F311" s="2"/>
      </tp>
      <tp>
        <v>-0.19389999999999999</v>
        <stp/>
        <stp>BDP|11282303637770496898|22</stp>
        <stp>CI UN Equity</stp>
        <stp>CHG_PCT_1M_RT</stp>
        <tr r="H97" s="2"/>
      </tp>
      <tp>
        <v>19.034300000000002</v>
        <stp/>
        <stp>BDP|16352687754532086402|22</stp>
        <stp>BK UN Equity</stp>
        <stp>CHG_PCT_3M_RT</stp>
        <tr r="I65" s="2"/>
      </tp>
      <tp>
        <v>-6.8199999999999997E-2</v>
        <stp/>
        <stp>BDP|15383373410495248416|22</stp>
        <stp>IR UN Equity</stp>
        <stp>CHG_PCT_1M_RT</stp>
        <tr r="H254" s="2"/>
      </tp>
      <tp>
        <v>-13.2294</v>
        <stp/>
        <stp>BDP|10135610439480392533|22</stp>
        <stp>CL UN Equity</stp>
        <stp>CHG_PCT_3M_RT</stp>
        <tr r="I99" s="2"/>
      </tp>
      <tp>
        <v>-0.73340000000000005</v>
        <stp/>
        <stp>BDP|12217026013504881617|22</stp>
        <stp>MS UN Equity</stp>
        <stp>CHG_PCT_1M_RT</stp>
        <tr r="H327" s="2"/>
      </tp>
      <tp>
        <v>125.9</v>
        <stp/>
        <stp>BDP|15872988821201629927|22</stp>
        <stp>TJX UN Equity</stp>
        <stp>LAST_PRICE</stp>
        <tr r="B446" s="2"/>
        <tr r="C446" s="2"/>
        <tr r="D446" s="2"/>
        <tr r="E446" s="2"/>
      </tp>
      <tp>
        <v>2.5032000541687012</v>
        <stp/>
        <stp>BDP|3598396976759992236|22</stp>
        <stp>AMTM UN Equity</stp>
        <stp>RT_PX_CHG_PCT_1D</stp>
        <tr r="F36" s="2"/>
      </tp>
      <tp>
        <v>18.175699999999999</v>
        <stp/>
        <stp>BDP|9030499600642425122|22</stp>
        <stp>PRU UN Equity</stp>
        <stp>CHG_PCT_YTD_RT</stp>
        <tr r="J389" s="2"/>
      </tp>
      <tp>
        <v>11.04</v>
        <stp/>
        <stp>BDP|7713990736796720796|22</stp>
        <stp>DPZ UN Equity</stp>
        <stp>CHG_PCT_YTD_RT</stp>
        <tr r="J149" s="2"/>
      </tp>
      <tp>
        <v>20.438199999999998</v>
        <stp/>
        <stp>BDP|4442689982405051291|22</stp>
        <stp>EQR UN Equity</stp>
        <stp>CHG_PCT_YTD_RT</stp>
        <tr r="J171" s="2"/>
      </tp>
      <tp>
        <v>25.96</v>
        <stp/>
        <stp>BDP|6654773626990116068|22</stp>
        <stp>NCLH UN Equity</stp>
        <stp>LAST_PRICE</stp>
        <tr r="D335" s="2"/>
        <tr r="E335" s="2"/>
        <tr r="B335" s="2"/>
        <tr r="C335" s="2"/>
      </tp>
      <tp>
        <v>129.44999999999999</v>
        <stp/>
        <stp>BDP|4451510095311706378|22</stp>
        <stp>WELL UN Equity</stp>
        <stp>LAST_PRICE</stp>
        <tr r="C491" s="2"/>
        <tr r="D491" s="2"/>
        <tr r="E491" s="2"/>
        <tr r="B491" s="2"/>
      </tp>
      <tp>
        <v>-14.2239</v>
        <stp/>
        <stp>BDP|8441199505687959365|22</stp>
        <stp>KHC UW Equity</stp>
        <stp>CHG_PCT_YTD_RT</stp>
        <tr r="J272" s="2"/>
      </tp>
      <tp>
        <v>-18.689499999999999</v>
        <stp/>
        <stp>BDP|4837607148913184049|22</stp>
        <stp>LYB UN Equity</stp>
        <stp>CHG_PCT_YTD_RT</stp>
        <tr r="J298" s="2"/>
      </tp>
      <tp>
        <v>-3.5541999999999998</v>
        <stp/>
        <stp>BDP|2217033041500442958|22</stp>
        <stp>ROP UW Equity</stp>
        <stp>REALTIME_5_DAY_CHANGE_PERCENT</stp>
        <tr r="G406" s="2"/>
      </tp>
      <tp>
        <v>19.535299999999999</v>
        <stp/>
        <stp>BDP|4628992180039221207|22</stp>
        <stp>GWW UN Equity</stp>
        <stp>CHG_PCT_3M_RT</stp>
        <tr r="I221" s="2"/>
      </tp>
      <tp>
        <v>-1.4974000453948975</v>
        <stp/>
        <stp>BDP|10963047356009810627|22</stp>
        <stp>ROL UN Equity</stp>
        <stp>RT_PX_CHG_PCT_1D</stp>
        <tr r="F405" s="2"/>
      </tp>
      <tp>
        <v>-1.2798</v>
        <stp/>
        <stp>BDP|2352997696130446834|22</stp>
        <stp>MTB UN Equity</stp>
        <stp>CHG_PCT_1M_RT</stp>
        <tr r="H331" s="2"/>
      </tp>
      <tp>
        <v>1.1597999999999999</v>
        <stp/>
        <stp>BDP|3764027581982964627|22</stp>
        <stp>APD UN Equity</stp>
        <stp>CHG_PCT_1M_RT</stp>
        <tr r="H43" s="2"/>
      </tp>
      <tp>
        <v>0.84609999999999996</v>
        <stp/>
        <stp>BDP|3158937640699698165|22</stp>
        <stp>CPT UN Equity</stp>
        <stp>CHG_PCT_1M_RT</stp>
        <tr r="H116" s="2"/>
      </tp>
      <tp>
        <v>-8.6441999999999997</v>
        <stp/>
        <stp>BDP|1282338622046498578|22</stp>
        <stp>DVN UN Equity</stp>
        <stp>CHG_PCT_1M_RT</stp>
        <tr r="H154" s="2"/>
      </tp>
      <tp>
        <v>-16.7057</v>
        <stp/>
        <stp>BDP|3355141118255849222|22</stp>
        <stp>DOW UN Equity</stp>
        <stp>CHG_PCT_3M_RT</stp>
        <tr r="I148" s="2"/>
      </tp>
      <tp>
        <v>-8.8872</v>
        <stp/>
        <stp>BDP|1796588525910743577|22</stp>
        <stp>MHK UN Equity</stp>
        <stp>CHG_PCT_1M_RT</stp>
        <tr r="H313" s="2"/>
      </tp>
      <tp>
        <v>2.7925000190734863</v>
        <stp/>
        <stp>BDP|17412406166564617664|22</stp>
        <stp>ARE UN Equity</stp>
        <stp>RT_PX_CHG_PCT_1D</stp>
        <tr r="F46" s="2"/>
      </tp>
      <tp>
        <v>-6.2027000000000001</v>
        <stp/>
        <stp>BDP|9735250439756365809|22</stp>
        <stp>MOS UN Equity</stp>
        <stp>CHG_PCT_1M_RT</stp>
        <tr r="H322" s="2"/>
      </tp>
      <tp>
        <v>12.9398</v>
        <stp/>
        <stp>BDP|6856393269834403070|22</stp>
        <stp>HST UW Equity</stp>
        <stp>CHG_PCT_3M_RT</stp>
        <tr r="I237" s="2"/>
      </tp>
      <tp>
        <v>-3.8632</v>
        <stp/>
        <stp>BDP|7834343549983181823|22</stp>
        <stp>DHR UN Equity</stp>
        <stp>CHG_PCT_1M_RT</stp>
        <tr r="H142" s="2"/>
      </tp>
      <tp>
        <v>-1.9270000457763672</v>
        <stp/>
        <stp>BDP|18390293584319272529|22</stp>
        <stp>MCK UN Equity</stp>
        <stp>RT_PX_CHG_PCT_1D</stp>
        <tr r="F306" s="2"/>
      </tp>
      <tp>
        <v>4.2146000862121582</v>
        <stp/>
        <stp>BDP|13282104784085326489|22</stp>
        <stp>AES UN Equity</stp>
        <stp>RT_PX_CHG_PCT_1D</stp>
        <tr r="F19" s="2"/>
      </tp>
      <tp>
        <v>2.9535999298095703</v>
        <stp/>
        <stp>BDP|14071707432527731091|22</stp>
        <stp>KHC UW Equity</stp>
        <stp>RT_PX_CHG_PCT_1D</stp>
        <tr r="F272" s="2"/>
      </tp>
      <tp>
        <v>-2.3457000255584717</v>
        <stp/>
        <stp>BDP|13658043911617718486|22</stp>
        <stp>DLR UN Equity</stp>
        <stp>RT_PX_CHG_PCT_1D</stp>
        <tr r="F144" s="2"/>
      </tp>
      <tp>
        <v>-1.131100058555603</v>
        <stp/>
        <stp>BDP|17584435061929822360|22</stp>
        <stp>RL UN Equity</stp>
        <stp>RT_PX_CHG_PCT_1D</stp>
        <tr r="F402" s="2"/>
      </tp>
      <tp>
        <v>128.71</v>
        <stp/>
        <stp>BDP|11841335599782329682|22</stp>
        <stp>PM UN Equity</stp>
        <stp>LAST_PRICE</stp>
        <tr r="D381" s="2"/>
        <tr r="B381" s="2"/>
        <tr r="C381" s="2"/>
        <tr r="E381" s="2"/>
      </tp>
      <tp>
        <v>36.6</v>
        <stp/>
        <stp>BDP|16433796970099817561|22</stp>
        <stp>MGM UN Equity</stp>
        <stp>LAST_PRICE</stp>
        <tr r="C312" s="2"/>
        <tr r="D312" s="2"/>
        <tr r="E312" s="2"/>
        <tr r="B312" s="2"/>
      </tp>
      <tp>
        <v>22.25</v>
        <stp/>
        <stp>BDP|14794168674285990335|22</stp>
        <stp>APA UW Equity</stp>
        <stp>LAST_PRICE</stp>
        <tr r="B42" s="2"/>
        <tr r="C42" s="2"/>
        <tr r="D42" s="2"/>
        <tr r="E42" s="2"/>
      </tp>
      <tp>
        <v>0.98860000000000003</v>
        <stp/>
        <stp>BDP|14030482188388162548|22</stp>
        <stp>PM UN Equity</stp>
        <stp>CHG_PCT_3M_RT</stp>
        <tr r="I381" s="2"/>
      </tp>
      <tp>
        <v>114.9</v>
        <stp/>
        <stp>BDP|11217764380775207483|22</stp>
        <stp>ABT UN Equity</stp>
        <stp>LAST_PRICE</stp>
        <tr r="E9" s="2"/>
        <tr r="B9" s="2"/>
        <tr r="C9" s="2"/>
        <tr r="D9" s="2"/>
      </tp>
      <tp>
        <v>-0.37569999694824219</v>
        <stp/>
        <stp>BDP|5119439263819998510|22</stp>
        <stp>DLTR UW Equity</stp>
        <stp>RT_PX_CHG_PCT_1D</stp>
        <tr r="F145" s="2"/>
      </tp>
      <tp>
        <v>60.25</v>
        <stp/>
        <stp>BDP|597135304101901994|22</stp>
        <stp>ES UN Equity</stp>
        <stp>LAST_PRICE</stp>
        <tr r="B174" s="2"/>
        <tr r="C174" s="2"/>
        <tr r="D174" s="2"/>
        <tr r="E174" s="2"/>
      </tp>
      <tp>
        <v>17.4163</v>
        <stp/>
        <stp>BDP|17836994400853604293|22</stp>
        <stp>HD UN Equity</stp>
        <stp>CHG_PCT_3M_RT</stp>
        <tr r="I226" s="2"/>
      </tp>
      <tp>
        <v>98.97</v>
        <stp/>
        <stp>BDP|10738170822954692718|22</stp>
        <stp>STX UW Equity</stp>
        <stp>LAST_PRICE</stp>
        <tr r="C428" s="2"/>
        <tr r="D428" s="2"/>
        <tr r="E428" s="2"/>
        <tr r="B428" s="2"/>
      </tp>
      <tp>
        <v>21.136600000000001</v>
        <stp/>
        <stp>BDP|3801229161728725258|22</stp>
        <stp>HPQ UN Equity</stp>
        <stp>CHG_PCT_YTD_RT</stp>
        <tr r="J234" s="2"/>
      </tp>
      <tp>
        <v>33.567</v>
        <stp/>
        <stp>BDP|9298180628318667365|22</stp>
        <stp>GEN UW Equity</stp>
        <stp>CHG_PCT_YTD_RT</stp>
        <tr r="J207" s="2"/>
      </tp>
      <tp>
        <v>189.52</v>
        <stp/>
        <stp>BDP|5449780800406185494|22</stp>
        <stp>EXPE UW Equity</stp>
        <stp>LAST_PRICE</stp>
        <tr r="B182" s="2"/>
        <tr r="C182" s="2"/>
        <tr r="D182" s="2"/>
        <tr r="E182" s="2"/>
      </tp>
      <tp>
        <v>-9.0830000000000002</v>
        <stp/>
        <stp>BDP|4516107936162349939|22</stp>
        <stp>GPC UN Equity</stp>
        <stp>CHG_PCT_YTD_RT</stp>
        <tr r="J217" s="2"/>
      </tp>
      <tp>
        <v>5.2694999999999999</v>
        <stp/>
        <stp>BDP|6148551997685952383|22</stp>
        <stp>FOX UW Equity</stp>
        <stp>CHG_PCT_1M_RT</stp>
        <tr r="H197" s="2"/>
      </tp>
      <tp>
        <v>22.419599999999999</v>
        <stp/>
        <stp>BDP|3472865567162929504|22</stp>
        <stp>ETR UN Equity</stp>
        <stp>CHG_PCT_3M_RT</stp>
        <tr r="I177" s="2"/>
      </tp>
      <tp>
        <v>56.48</v>
        <stp/>
        <stp>BDP|1162318067418747269|22</stp>
        <stp>O UN Equity</stp>
        <stp>LAST_PRICE</stp>
        <tr r="D355" s="2"/>
        <tr r="E355" s="2"/>
        <tr r="B355" s="2"/>
        <tr r="C355" s="2"/>
      </tp>
      <tp>
        <v>1.3329999446868896</v>
        <stp/>
        <stp>BDP|10519535016157640297|22</stp>
        <stp>ZBH UN Equity</stp>
        <stp>RT_PX_CHG_PCT_1D</stp>
        <tr r="F505" s="2"/>
      </tp>
      <tp>
        <v>0.11150000244379044</v>
        <stp/>
        <stp>BDP|16368820614104272706|22</stp>
        <stp>UDR UN Equity</stp>
        <stp>RT_PX_CHG_PCT_1D</stp>
        <tr r="F465" s="2"/>
      </tp>
      <tp>
        <v>-2.6319999694824219</v>
        <stp/>
        <stp>BDP|13936535566181531922|22</stp>
        <stp>PGR UN Equity</stp>
        <stp>RT_PX_CHG_PCT_1D</stp>
        <tr r="F375" s="2"/>
      </tp>
      <tp>
        <v>-0.12039999663829803</v>
        <stp/>
        <stp>BDP|18063171801366232311|22</stp>
        <stp>STE UN Equity</stp>
        <stp>RT_PX_CHG_PCT_1D</stp>
        <tr r="F425" s="2"/>
      </tp>
      <tp>
        <v>-8.0877999999999997</v>
        <stp/>
        <stp>BDP|1500553119099511983|22</stp>
        <stp>DOW UN Equity</stp>
        <stp>CHG_PCT_1M_RT</stp>
        <tr r="H148" s="2"/>
      </tp>
      <tp>
        <v>-0.97949999570846558</v>
        <stp/>
        <stp>BDP|15570509106459050429|22</stp>
        <stp>EMN UN Equity</stp>
        <stp>RT_PX_CHG_PCT_1D</stp>
        <tr r="F165" s="2"/>
      </tp>
      <tp>
        <v>0.1191</v>
        <stp/>
        <stp>BDP|2092582300103798084|22</stp>
        <stp>DOV UN Equity</stp>
        <stp>CHG_PCT_1M_RT</stp>
        <tr r="H147" s="2"/>
      </tp>
      <tp>
        <v>0.3493</v>
        <stp/>
        <stp>BDP|4312528386870308499|22</stp>
        <stp>CFG UN Equity</stp>
        <stp>CHG_PCT_1M_RT</stp>
        <tr r="H93" s="2"/>
      </tp>
      <tp>
        <v>-3.2465000000000002</v>
        <stp/>
        <stp>BDP|9271858664900953457|22</stp>
        <stp>RJF UN Equity</stp>
        <stp>REALTIME_5_DAY_CHANGE_PERCENT</stp>
        <tr r="G401" s="2"/>
      </tp>
      <tp>
        <v>-4.5847001075744629</v>
        <stp/>
        <stp>BDP|11973147159242357741|22</stp>
        <stp>CCL UN Equity</stp>
        <stp>RT_PX_CHG_PCT_1D</stp>
        <tr r="F87" s="2"/>
      </tp>
      <tp>
        <v>308.3</v>
        <stp/>
        <stp>BDP|5348040679261586979|22</stp>
        <stp>V UN Equity</stp>
        <stp>LAST_PRICE</stp>
        <tr r="C473" s="2"/>
        <tr r="D473" s="2"/>
        <tr r="E473" s="2"/>
        <tr r="B473" s="2"/>
      </tp>
      <tp>
        <v>-1.9937000274658203</v>
        <stp/>
        <stp>BDP|16537167648602831057|22</stp>
        <stp>FOX UW Equity</stp>
        <stp>RT_PX_CHG_PCT_1D</stp>
        <tr r="F197" s="2"/>
      </tp>
      <tp>
        <v>5.484</v>
        <stp/>
        <stp>BDP|1808586055130255099|22</stp>
        <stp>CCL UN Equity</stp>
        <stp>CHG_PCT_1M_RT</stp>
        <tr r="H87" s="2"/>
      </tp>
      <tp>
        <v>-8.5920000000000005</v>
        <stp/>
        <stp>BDP|4252420590441410422|22</stp>
        <stp>NOC UN Equity</stp>
        <stp>CHG_PCT_3M_RT</stp>
        <tr r="I343" s="2"/>
      </tp>
      <tp>
        <v>1.7302999999999999</v>
        <stp/>
        <stp>BDP|4599759425219220281|22</stp>
        <stp>AIG UN Equity</stp>
        <stp>CHG_PCT_3M_RT</stp>
        <tr r="I21" s="2"/>
      </tp>
      <tp>
        <v>0.19419999420642853</v>
        <stp/>
        <stp>BDP|10631684488341946066|22</stp>
        <stp>JNJ UN Equity</stp>
        <stp>RT_PX_CHG_PCT_1D</stp>
        <tr r="F265" s="2"/>
      </tp>
      <tp>
        <v>-2.1442999839782715</v>
        <stp/>
        <stp>BDP|11270212961584850253|22</stp>
        <stp>MTB UN Equity</stp>
        <stp>RT_PX_CHG_PCT_1D</stp>
        <tr r="F331" s="2"/>
      </tp>
      <tp>
        <v>-0.67549997568130493</v>
        <stp/>
        <stp>BDP|17718191214558762625|22</stp>
        <stp>AEE UN Equity</stp>
        <stp>RT_PX_CHG_PCT_1D</stp>
        <tr r="F17" s="2"/>
      </tp>
      <tp>
        <v>-10.7143</v>
        <stp/>
        <stp>BDP|7135969375994673150|22</stp>
        <stp>APA UW Equity</stp>
        <stp>CHG_PCT_3M_RT</stp>
        <tr r="I42" s="2"/>
      </tp>
      <tp>
        <v>2.6651999950408936</v>
        <stp/>
        <stp>BDP|15229347856481010986|22</stp>
        <stp>CE UN Equity</stp>
        <stp>RT_PX_CHG_PCT_1D</stp>
        <tr r="F90" s="2"/>
      </tp>
      <tp>
        <v>0.87339997291564941</v>
        <stp/>
        <stp>BDP|5330338723136842885|22</stp>
        <stp>CTLT UN Equity</stp>
        <stp>RT_PX_CHG_PCT_1D</stp>
        <tr r="F124" s="2"/>
      </tp>
      <tp>
        <v>-6.5581998825073242</v>
        <stp/>
        <stp>BDP|6269605322695347919|22</stp>
        <stp>AXON UW Equity</stp>
        <stp>RT_PX_CHG_PCT_1D</stp>
        <tr r="F52" s="2"/>
      </tp>
      <tp>
        <v>92.82</v>
        <stp/>
        <stp>BDP|13492185912381431170|22</stp>
        <stp>OMC UN Equity</stp>
        <stp>LAST_PRICE</stp>
        <tr r="E358" s="2"/>
        <tr r="B358" s="2"/>
        <tr r="C358" s="2"/>
        <tr r="D358" s="2"/>
      </tp>
      <tp>
        <v>152.35</v>
        <stp/>
        <stp>BDP|15944843551354121966|22</stp>
        <stp>KKR UN Equity</stp>
        <stp>LAST_PRICE</stp>
        <tr r="E274" s="2"/>
        <tr r="B274" s="2"/>
        <tr r="C274" s="2"/>
        <tr r="D274" s="2"/>
      </tp>
      <tp>
        <v>473.98</v>
        <stp/>
        <stp>BDP|2847470139699720826|22</stp>
        <stp>VRTX UW Equity</stp>
        <stp>LAST_PRICE</stp>
        <tr r="B480" s="2"/>
        <tr r="D480" s="2"/>
        <tr r="C480" s="2"/>
        <tr r="E480" s="2"/>
      </tp>
      <tp>
        <v>365.96</v>
        <stp/>
        <stp>BDP|1358311010965972385|22</stp>
        <stp>CHTR UW Equity</stp>
        <stp>LAST_PRICE</stp>
        <tr r="E96" s="2"/>
        <tr r="D96" s="2"/>
        <tr r="B96" s="2"/>
        <tr r="C96" s="2"/>
      </tp>
      <tp>
        <v>53.468299999999999</v>
        <stp/>
        <stp>BDP|1222418805519107100|22</stp>
        <stp>BSX UN Equity</stp>
        <stp>CHG_PCT_YTD_RT</stp>
        <tr r="J74" s="2"/>
      </tp>
      <tp>
        <v>69.165999999999997</v>
        <stp/>
        <stp>BDP|8390392272682339073|22</stp>
        <stp>TPR UN Equity</stp>
        <stp>CHG_PCT_YTD_RT</stp>
        <tr r="J450" s="2"/>
      </tp>
      <tp>
        <v>105.92</v>
        <stp/>
        <stp>BDP|9182165254970188199|22</stp>
        <stp>ANET UN Equity</stp>
        <stp>LAST_PRICE</stp>
        <tr r="B38" s="2"/>
        <tr r="C38" s="2"/>
        <tr r="D38" s="2"/>
        <tr r="E38" s="2"/>
      </tp>
      <tp>
        <v>29.38</v>
        <stp/>
        <stp>BDP|9432006090267430748|22</stp>
        <stp>NWSA UW Equity</stp>
        <stp>LAST_PRICE</stp>
        <tr r="B353" s="2"/>
        <tr r="C353" s="2"/>
        <tr r="D353" s="2"/>
        <tr r="E353" s="2"/>
      </tp>
      <tp>
        <v>308.55</v>
        <stp/>
        <stp>BDP|8393439733827427937|22</stp>
        <stp>ADSK UW Equity</stp>
        <stp>LAST_PRICE</stp>
        <tr r="B16" s="2"/>
        <tr r="C16" s="2"/>
        <tr r="D16" s="2"/>
        <tr r="E16" s="2"/>
      </tp>
      <tp>
        <v>63.389499999999998</v>
        <stp/>
        <stp>BDP|4142357314512511893|22</stp>
        <stp>IRM UN Equity</stp>
        <stp>CHG_PCT_YTD_RT</stp>
        <tr r="J255" s="2"/>
      </tp>
      <tp>
        <v>513.35</v>
        <stp/>
        <stp>BDP|7199245465561047893|22</stp>
        <stp>SPGI UN Equity</stp>
        <stp>LAST_PRICE</stp>
        <tr r="D423" s="2"/>
        <tr r="E423" s="2"/>
        <tr r="B423" s="2"/>
        <tr r="C423" s="2"/>
      </tp>
      <tp>
        <v>10.466200000000001</v>
        <stp/>
        <stp>BDP|2183996466865243296|22</stp>
        <stp>DTE UN Equity</stp>
        <stp>CHG_PCT_YTD_RT</stp>
        <tr r="J151" s="2"/>
      </tp>
      <tp>
        <v>45.7727</v>
        <stp/>
        <stp>BDP|8617199119375379197|22</stp>
        <stp>URI UN Equity</stp>
        <stp>CHG_PCT_YTD_RT</stp>
        <tr r="J471" s="2"/>
      </tp>
      <tp>
        <v>31.76</v>
        <stp/>
        <stp>BDP|2659449023232439884|22</stp>
        <stp>VICI UN Equity</stp>
        <stp>LAST_PRICE</stp>
        <tr r="B474" s="2"/>
        <tr r="C474" s="2"/>
        <tr r="D474" s="2"/>
        <tr r="E474" s="2"/>
      </tp>
      <tp>
        <v>-10.946400000000001</v>
        <stp/>
        <stp>BDP|8090842301832477578|22</stp>
        <stp>CMCSA UW Equity</stp>
        <stp>CHG_PCT_YTD_RT</stp>
        <tr r="J101" s="2"/>
      </tp>
      <tp>
        <v>-5.9446000000000003</v>
        <stp/>
        <stp>BDP|1665097027643384902|22</stp>
        <stp>PWR UN Equity</stp>
        <stp>REALTIME_5_DAY_CHANGE_PERCENT</stp>
        <tr r="G393" s="2"/>
      </tp>
      <tp>
        <v>1.2942999601364136</v>
        <stp/>
        <stp>BDP|14760467772633455667|22</stp>
        <stp>TFX UN Equity</stp>
        <stp>RT_PX_CHG_PCT_1D</stp>
        <tr r="F444" s="2"/>
      </tp>
      <tp>
        <v>-4.5236999999999998</v>
        <stp/>
        <stp>BDP|8883969586351999276|22</stp>
        <stp>DUK UN Equity</stp>
        <stp>CHG_PCT_3M_RT</stp>
        <tr r="I152" s="2"/>
      </tp>
      <tp>
        <v>0.88599997758865356</v>
        <stp/>
        <stp>BDP|14040948216575856429|22</stp>
        <stp>TER UW Equity</stp>
        <stp>RT_PX_CHG_PCT_1D</stp>
        <tr r="F442" s="2"/>
      </tp>
      <tp>
        <v>-7.2947001457214355</v>
        <stp/>
        <stp>BDP|10458767730466237840|22</stp>
        <stp>VST UN Equity</stp>
        <stp>RT_PX_CHG_PCT_1D</stp>
        <tr r="F481" s="2"/>
      </tp>
      <tp>
        <v>-0.59030002355575562</v>
        <stp/>
        <stp>BDP|14178903401127836563|22</stp>
        <stp>PCG UN Equity</stp>
        <stp>RT_PX_CHG_PCT_1D</stp>
        <tr r="F369" s="2"/>
      </tp>
      <tp>
        <v>1.3011000156402588</v>
        <stp/>
        <stp>BDP|11975785119986463438|22</stp>
        <stp>PHM UN Equity</stp>
        <stp>RT_PX_CHG_PCT_1D</stp>
        <tr r="F377" s="2"/>
      </tp>
      <tp>
        <v>-2.1956000000000002</v>
        <stp/>
        <stp>BDP|6279734986178602873|22</stp>
        <stp>PEP UW Equity</stp>
        <stp>REALTIME_5_DAY_CHANGE_PERCENT</stp>
        <tr r="G371" s="2"/>
      </tp>
      <tp>
        <v>-4.0834000000000001</v>
        <stp/>
        <stp>BDP|7021843249051706898|22</stp>
        <stp>UHS UN Equity</stp>
        <stp>REALTIME_5_DAY_CHANGE_PERCENT</stp>
        <tr r="G466" s="2"/>
      </tp>
      <tp>
        <v>-3.1532</v>
        <stp/>
        <stp>BDP|5571858792955611672|22</stp>
        <stp>WMB UN Equity</stp>
        <stp>REALTIME_5_DAY_CHANGE_PERCENT</stp>
        <tr r="G494" s="2"/>
      </tp>
      <tp>
        <v>-1.1282999515533447</v>
        <stp/>
        <stp>BDP|13275081037679571092|22</stp>
        <stp>BMY UN Equity</stp>
        <stp>RT_PX_CHG_PCT_1D</stp>
        <tr r="F70" s="2"/>
      </tp>
      <tp>
        <v>-0.87139999866485596</v>
        <stp/>
        <stp>BDP|382702628928256564|22</stp>
        <stp>V UN Equity</stp>
        <stp>RT_PX_CHG_PCT_1D</stp>
        <tr r="F473" s="2"/>
      </tp>
      <tp>
        <v>5.1638000000000002</v>
        <stp/>
        <stp>BDP|5255745427406407709|22</stp>
        <stp>HST UW Equity</stp>
        <stp>CHG_PCT_1M_RT</stp>
        <tr r="H237" s="2"/>
      </tp>
      <tp>
        <v>-16.049399999999999</v>
        <stp/>
        <stp>BDP|4421262812203976842|22</stp>
        <stp>AES UN Equity</stp>
        <stp>CHG_PCT_3M_RT</stp>
        <tr r="I19" s="2"/>
      </tp>
      <tp>
        <v>-4.0617000000000001</v>
        <stp/>
        <stp>BDP|8374828269163056762|22</stp>
        <stp>STX UW Equity</stp>
        <stp>REALTIME_5_DAY_CHANGE_PERCENT</stp>
        <tr r="G428" s="2"/>
      </tp>
      <tp>
        <v>-0.72769999504089355</v>
        <stp/>
        <stp>BDP|14083169186361251142|22</stp>
        <stp>APH UN Equity</stp>
        <stp>RT_PX_CHG_PCT_1D</stp>
        <tr r="F44" s="2"/>
      </tp>
      <tp>
        <v>3.4015</v>
        <stp/>
        <stp>BDP|1787013384562038809|22</stp>
        <stp>DLR UN Equity</stp>
        <stp>CHG_PCT_1M_RT</stp>
        <tr r="H144" s="2"/>
      </tp>
      <tp>
        <v>-11.834199999999999</v>
        <stp/>
        <stp>BDP|3186129866543188031|22</stp>
        <stp>LHX UN Equity</stp>
        <stp>CHG_PCT_1M_RT</stp>
        <tr r="H286" s="2"/>
      </tp>
      <tp>
        <v>-3.4420999999999999</v>
        <stp/>
        <stp>BDP|5919247973729881594|22</stp>
        <stp>MCK UN Equity</stp>
        <stp>CHG_PCT_1M_RT</stp>
        <tr r="H306" s="2"/>
      </tp>
      <tp>
        <v>-27.8218</v>
        <stp/>
        <stp>BDP|5615770468471730030|22</stp>
        <stp>HII UN Equity</stp>
        <stp>CHG_PCT_3M_RT</stp>
        <tr r="I229" s="2"/>
      </tp>
      <tp>
        <v>-5.6383000000000001</v>
        <stp/>
        <stp>BDP|1464432305953044862|22</stp>
        <stp>SLB UN Equity</stp>
        <stp>REALTIME_5_DAY_CHANGE_PERCENT</stp>
        <tr r="G416" s="2"/>
      </tp>
      <tp>
        <v>-2.9491999999999998</v>
        <stp/>
        <stp>BDP|7292739212625052361|22</stp>
        <stp>NEE UN Equity</stp>
        <stp>CHG_PCT_1M_RT</stp>
        <tr r="H338" s="2"/>
      </tp>
      <tp>
        <v>-1.0831999778747559</v>
        <stp/>
        <stp>BDP|16126433156998783745|22</stp>
        <stp>EXC UW Equity</stp>
        <stp>RT_PX_CHG_PCT_1D</stp>
        <tr r="F180" s="2"/>
      </tp>
      <tp>
        <v>-1.4120999574661255</v>
        <stp/>
        <stp>BDP|11003190038045659890|22</stp>
        <stp>FIS UN Equity</stp>
        <stp>RT_PX_CHG_PCT_1D</stp>
        <tr r="F194" s="2"/>
      </tp>
      <tp>
        <v>0.71460002660751343</v>
        <stp/>
        <stp>BDP|15068397208570732182|22</stp>
        <stp>CMS UN Equity</stp>
        <stp>RT_PX_CHG_PCT_1D</stp>
        <tr r="F105" s="2"/>
      </tp>
      <tp>
        <v>-10.8422</v>
        <stp/>
        <stp>BDP|4239708865321140874|22</stp>
        <stp>MHK UN Equity</stp>
        <stp>CHG_PCT_3M_RT</stp>
        <tr r="I313" s="2"/>
      </tp>
      <tp>
        <v>-2.1118999999999999</v>
        <stp/>
        <stp>BDP|4487311044969854408|22</stp>
        <stp>PKG UN Equity</stp>
        <stp>REALTIME_5_DAY_CHANGE_PERCENT</stp>
        <tr r="G378" s="2"/>
      </tp>
      <tp>
        <v>-1.3141</v>
        <stp/>
        <stp>BDP|3645846241811299924|22</stp>
        <stp>ABT UN Equity</stp>
        <stp>CHG_PCT_3M_RT</stp>
        <tr r="I9" s="2"/>
      </tp>
      <tp>
        <v>3.3234000205993652</v>
        <stp/>
        <stp>BDP|13944176960152764810|22</stp>
        <stp>BXP UN Equity</stp>
        <stp>RT_PX_CHG_PCT_1D</stp>
        <tr r="F77" s="2"/>
      </tp>
      <tp>
        <v>-4.2199999094009399E-2</v>
        <stp/>
        <stp>BDP|14291631188963271905|22</stp>
        <stp>ED UN Equity</stp>
        <stp>RT_PX_CHG_PCT_1D</stp>
        <tr r="F159" s="2"/>
      </tp>
      <tp>
        <v>-0.88239997625350952</v>
        <stp/>
        <stp>BDP|13047125003881951831|22</stp>
        <stp>BX UN Equity</stp>
        <stp>RT_PX_CHG_PCT_1D</stp>
        <tr r="F76" s="2"/>
      </tp>
      <tp>
        <v>202.69</v>
        <stp/>
        <stp>BDP|17404807815073505379|22</stp>
        <stp>WAB UN Equity</stp>
        <stp>LAST_PRICE</stp>
        <tr r="E485" s="2"/>
        <tr r="B485" s="2"/>
        <tr r="C485" s="2"/>
        <tr r="D485" s="2"/>
      </tp>
      <tp>
        <v>22.194700000000001</v>
        <stp/>
        <stp>BDP|11868341100537746898|22</stp>
        <stp>SW UN Equity</stp>
        <stp>CHG_PCT_3M_RT</stp>
        <tr r="I430" s="2"/>
      </tp>
      <tp>
        <v>1.3969000577926636</v>
        <stp/>
        <stp>BDP|3626601683099750311|22</stp>
        <stp>MTCH UW Equity</stp>
        <stp>RT_PX_CHG_PCT_1D</stp>
        <tr r="F332" s="2"/>
      </tp>
      <tp>
        <v>301.37</v>
        <stp/>
        <stp>BDP|14341804938183603054|22</stp>
        <stp>MCD UN Equity</stp>
        <stp>LAST_PRICE</stp>
        <tr r="E304" s="2"/>
        <tr r="C304" s="2"/>
        <tr r="D304" s="2"/>
        <tr r="B304" s="2"/>
      </tp>
      <tp>
        <v>90.44</v>
        <stp/>
        <stp>BDP|16364614008862143392|22</stp>
        <stp>PNW UN Equity</stp>
        <stp>LAST_PRICE</stp>
        <tr r="D384" s="2"/>
        <tr r="C384" s="2"/>
        <tr r="E384" s="2"/>
        <tr r="B384" s="2"/>
      </tp>
      <tp>
        <v>-2.152400016784668</v>
        <stp/>
        <stp>BDP|4976884351606250734|22</stp>
        <stp>ANET UN Equity</stp>
        <stp>RT_PX_CHG_PCT_1D</stp>
        <tr r="F38" s="2"/>
      </tp>
      <tp>
        <v>26.01</v>
        <stp/>
        <stp>BDP|15186096552238275856|22</stp>
        <stp>MOS UN Equity</stp>
        <stp>LAST_PRICE</stp>
        <tr r="E322" s="2"/>
        <tr r="B322" s="2"/>
        <tr r="C322" s="2"/>
        <tr r="D322" s="2"/>
      </tp>
      <tp>
        <v>3.440500020980835</v>
        <stp/>
        <stp>BDP|7663009653911079556|22</stp>
        <stp>IDXX UW Equity</stp>
        <stp>RT_PX_CHG_PCT_1D</stp>
        <tr r="F244" s="2"/>
      </tp>
      <tp>
        <v>79.23</v>
        <stp/>
        <stp>BDP|12842609192645776695|22</stp>
        <stp>DAY UN Equity</stp>
        <stp>LAST_PRICE</stp>
        <tr r="C133" s="2"/>
        <tr r="D133" s="2"/>
        <tr r="E133" s="2"/>
        <tr r="B133" s="2"/>
      </tp>
      <tp>
        <v>176.57</v>
        <stp/>
        <stp>BDP|8485994073683694658|22</stp>
        <stp>ABBV UN Equity</stp>
        <stp>LAST_PRICE</stp>
        <tr r="C7" s="2"/>
        <tr r="D7" s="2"/>
        <tr r="E7" s="2"/>
        <tr r="B7" s="2"/>
      </tp>
      <tp>
        <v>80.319999999999993</v>
        <stp/>
        <stp>BDP|5607756940131391057|22</stp>
        <stp>FAST UW Equity</stp>
        <stp>LAST_PRICE</stp>
        <tr r="B186" s="2"/>
        <tr r="C186" s="2"/>
        <tr r="D186" s="2"/>
        <tr r="E186" s="2"/>
      </tp>
      <tp>
        <v>70.63</v>
        <stp/>
        <stp>BDP|2719906903286342842|22</stp>
        <stp>SOLV UN Equity</stp>
        <stp>LAST_PRICE</stp>
        <tr r="B421" s="2"/>
        <tr r="C421" s="2"/>
        <tr r="D421" s="2"/>
        <tr r="E421" s="2"/>
      </tp>
      <tp>
        <v>90</v>
        <stp/>
        <stp>BDP|1074471376826481937|22</stp>
        <stp>PYPL UW Equity</stp>
        <stp>LAST_PRICE</stp>
        <tr r="B394" s="2"/>
        <tr r="E394" s="2"/>
        <tr r="C394" s="2"/>
        <tr r="D394" s="2"/>
      </tp>
      <tp>
        <v>28.5581</v>
        <stp/>
        <stp>BDP|4384021236811035359|22</stp>
        <stp>AZO UN Equity</stp>
        <stp>CHG_PCT_YTD_RT</stp>
        <tr r="J54" s="2"/>
      </tp>
      <tp>
        <v>-14.657400000000001</v>
        <stp/>
        <stp>BDP|5769002957034766970|22</stp>
        <stp>CRL UN Equity</stp>
        <stp>CHG_PCT_YTD_RT</stp>
        <tr r="J117" s="2"/>
      </tp>
      <tp>
        <v>618.5</v>
        <stp/>
        <stp>BDP|1081023371531908961|22</stp>
        <stp>MSCI UN Equity</stp>
        <stp>LAST_PRICE</stp>
        <tr r="C328" s="2"/>
        <tr r="D328" s="2"/>
        <tr r="E328" s="2"/>
        <tr r="B328" s="2"/>
      </tp>
      <tp>
        <v>-11.2204</v>
        <stp/>
        <stp>BDP|3276542870982618851|22</stp>
        <stp>AMD UW Equity</stp>
        <stp>CHG_PCT_YTD_RT</stp>
        <tr r="J31" s="2"/>
      </tp>
      <tp>
        <v>4.8548</v>
        <stp/>
        <stp>BDP|2046998061623553470|22</stp>
        <stp>HPE UN Equity</stp>
        <stp>CHG_PCT_1M_RT</stp>
        <tr r="H233" s="2"/>
      </tp>
      <tp>
        <v>6.2934000000000001</v>
        <stp/>
        <stp>BDP|3822290163631687796|22</stp>
        <stp>SYY UN Equity</stp>
        <stp>REALTIME_5_DAY_CHANGE_PERCENT</stp>
        <tr r="G435" s="2"/>
      </tp>
      <tp>
        <v>0.66520000000000001</v>
        <stp/>
        <stp>BDP|3344868013322188658|22</stp>
        <stp>AVB UN Equity</stp>
        <stp>CHG_PCT_3M_RT</stp>
        <tr r="I48" s="2"/>
      </tp>
      <tp>
        <v>9.1234000000000002</v>
        <stp/>
        <stp>BDP|6497520486046775255|22</stp>
        <stp>MSI UN Equity</stp>
        <stp>CHG_PCT_3M_RT</stp>
        <tr r="I330" s="2"/>
      </tp>
      <tp>
        <v>2.3926000595092773</v>
        <stp/>
        <stp>BDP|14298959407355864071|22</stp>
        <stp>UNH UN Equity</stp>
        <stp>RT_PX_CHG_PCT_1D</stp>
        <tr r="F468" s="2"/>
      </tp>
      <tp>
        <v>1.0880000591278076</v>
        <stp/>
        <stp>BDP|10198069823531939122|22</stp>
        <stp>PSX UN Equity</stp>
        <stp>RT_PX_CHG_PCT_1D</stp>
        <tr r="F391" s="2"/>
      </tp>
      <tp>
        <v>0.21959999999999999</v>
        <stp/>
        <stp>BDP|8568648087108636589|22</stp>
        <stp>ADI UW Equity</stp>
        <stp>CHG_PCT_3M_RT</stp>
        <tr r="I13" s="2"/>
      </tp>
      <tp>
        <v>22.9742</v>
        <stp/>
        <stp>BDP|1039524258400936781|22</stp>
        <stp>BKR UW Equity</stp>
        <stp>CHG_PCT_3M_RT</stp>
        <tr r="I67" s="2"/>
      </tp>
      <tp>
        <v>2.4074</v>
        <stp/>
        <stp>BDP|2366613024722823328|22</stp>
        <stp>HRL UN Equity</stp>
        <stp>CHG_PCT_3M_RT</stp>
        <tr r="I235" s="2"/>
      </tp>
      <tp>
        <v>4.9012000000000002</v>
        <stp/>
        <stp>BDP|8341214258079118713|22</stp>
        <stp>CME UW Equity</stp>
        <stp>CHG_PCT_1M_RT</stp>
        <tr r="H102" s="2"/>
      </tp>
      <tp>
        <v>14.2112</v>
        <stp/>
        <stp>BDP|4267265676160947035|22</stp>
        <stp>OKE UN Equity</stp>
        <stp>CHG_PCT_3M_RT</stp>
        <tr r="I357" s="2"/>
      </tp>
      <tp>
        <v>0.44119999999999998</v>
        <stp/>
        <stp>BDP|2537764301773307526|22</stp>
        <stp>KIM UN Equity</stp>
        <stp>CHG_PCT_1M_RT</stp>
        <tr r="H273" s="2"/>
      </tp>
      <tp>
        <v>2.3195000000000001</v>
        <stp/>
        <stp>BDP|4646304904373659588|22</stp>
        <stp>NKE UN Equity</stp>
        <stp>CHG_PCT_1M_RT</stp>
        <tr r="H342" s="2"/>
      </tp>
      <tp>
        <v>0.44029998779296875</v>
        <stp/>
        <stp>BDP|11480124991419789894|22</stp>
        <stp>AZO UN Equity</stp>
        <stp>RT_PX_CHG_PCT_1D</stp>
        <tr r="F54" s="2"/>
      </tp>
      <tp>
        <v>-1.3212000131607056</v>
        <stp/>
        <stp>BDP|14206297544099601953|22</stp>
        <stp>KMB UN Equity</stp>
        <stp>RT_PX_CHG_PCT_1D</stp>
        <tr r="F276" s="2"/>
      </tp>
      <tp>
        <v>-2.3273000000000001</v>
        <stp/>
        <stp>BDP|2010561177226972638|22</stp>
        <stp>NKE UN Equity</stp>
        <stp>CHG_PCT_3M_RT</stp>
        <tr r="I342" s="2"/>
      </tp>
      <tp>
        <v>1.7336000204086304</v>
        <stp/>
        <stp>BDP|17737366678328354877|22</stp>
        <stp>BEN UN Equity</stp>
        <stp>RT_PX_CHG_PCT_1D</stp>
        <tr r="F61" s="2"/>
      </tp>
      <tp>
        <v>-3.2456</v>
        <stp/>
        <stp>BDP|2476295717340971353|22</stp>
        <stp>PNC UN Equity</stp>
        <stp>REALTIME_5_DAY_CHANGE_PERCENT</stp>
        <tr r="G382" s="2"/>
      </tp>
      <tp>
        <v>-1.319599986076355</v>
        <stp/>
        <stp>BDP|18028503905809953238|22</stp>
        <stp>ETR UN Equity</stp>
        <stp>RT_PX_CHG_PCT_1D</stp>
        <tr r="F177" s="2"/>
      </tp>
      <tp>
        <v>8.9800000190734863E-2</v>
        <stp/>
        <stp>BDP|10876074881993397857|22</stp>
        <stp>ICE UN Equity</stp>
        <stp>RT_PX_CHG_PCT_1D</stp>
        <tr r="F243" s="2"/>
      </tp>
      <tp>
        <v>15.435499999999999</v>
        <stp/>
        <stp>BDP|5682413474349376173|22</stp>
        <stp>KMX UN Equity</stp>
        <stp>CHG_PCT_1M_RT</stp>
        <tr r="H278" s="2"/>
      </tp>
      <tp>
        <v>-2.1215000000000002</v>
        <stp/>
        <stp>BDP|6663616705975841983|22</stp>
        <stp>MMM UN Equity</stp>
        <stp>CHG_PCT_1M_RT</stp>
        <tr r="H318" s="2"/>
      </tp>
      <tp>
        <v>-2.3540000000000001</v>
        <stp/>
        <stp>BDP|3268032462146973484|22</stp>
        <stp>DAY UN Equity</stp>
        <stp>CHG_PCT_1M_RT</stp>
        <tr r="H133" s="2"/>
      </tp>
      <tp>
        <v>-14.1638</v>
        <stp/>
        <stp>BDP|6595387942008367627|22</stp>
        <stp>DHI UN Equity</stp>
        <stp>CHG_PCT_3M_RT</stp>
        <tr r="I141" s="2"/>
      </tp>
      <tp>
        <v>-0.25600000000000001</v>
        <stp/>
        <stp>BDP|7907338940405074228|22</stp>
        <stp>ECL UN Equity</stp>
        <stp>CHG_PCT_1M_RT</stp>
        <tr r="H158" s="2"/>
      </tp>
      <tp>
        <v>1.1229000091552734</v>
        <stp/>
        <stp>BDP|6846387442787195813|22</stp>
        <stp>LRCX UW Equity</stp>
        <stp>RT_PX_CHG_PCT_1D</stp>
        <tr r="F293" s="2"/>
      </tp>
      <tp>
        <v>29.7715</v>
        <stp/>
        <stp>BDP|119255349931269439|22</stp>
        <stp>VLTO UN Equity</stp>
        <stp>CHG_PCT_YTD_RT</stp>
        <tr r="J476" s="2"/>
      </tp>
      <tp>
        <v>127.85</v>
        <stp/>
        <stp>BDP|11675705817706422697|22</stp>
        <stp>EOG UN Equity</stp>
        <stp>LAST_PRICE</stp>
        <tr r="E168" s="2"/>
        <tr r="D168" s="2"/>
        <tr r="B168" s="2"/>
        <tr r="C168" s="2"/>
      </tp>
      <tp>
        <v>-0.8659</v>
        <stp/>
        <stp>BDP|17290648188908008731|22</stp>
        <stp>VZ UN Equity</stp>
        <stp>CHG_PCT_3M_RT</stp>
        <tr r="I484" s="2"/>
      </tp>
      <tp>
        <v>-2.9933000000000001</v>
        <stp/>
        <stp>BDP|17679357096917016511|22</stp>
        <stp>PG UN Equity</stp>
        <stp>CHG_PCT_3M_RT</stp>
        <tr r="I374" s="2"/>
      </tp>
      <tp>
        <v>0.34310001134872437</v>
        <stp/>
        <stp>BDP|3217728047970934000|22</stp>
        <stp>GRMN UN Equity</stp>
        <stp>RT_PX_CHG_PCT_1D</stp>
        <tr r="F219" s="2"/>
      </tp>
      <tp>
        <v>-3.4138000000000002</v>
        <stp/>
        <stp>BDP|16613961226055714268|22</stp>
        <stp>ED UN Equity</stp>
        <stp>CHG_PCT_1M_RT</stp>
        <tr r="H159" s="2"/>
      </tp>
      <tp>
        <v>-1.5347000360488892</v>
        <stp/>
        <stp>BDP|3650698667158367754|22</stp>
        <stp>GDDY UN Equity</stp>
        <stp>RT_PX_CHG_PCT_1D</stp>
        <tr r="F204" s="2"/>
      </tp>
      <tp>
        <v>-4.5237999999999996</v>
        <stp/>
        <stp>BDP|12649048088449849785|22</stp>
        <stp>GL UN Equity</stp>
        <stp>CHG_PCT_1M_RT</stp>
        <tr r="H211" s="2"/>
      </tp>
      <tp>
        <v>-3.5720000000000001</v>
        <stp/>
        <stp>BDP|16581520760351745136|22</stp>
        <stp>KR UN Equity</stp>
        <stp>CHG_PCT_1M_RT</stp>
        <tr r="H280" s="2"/>
      </tp>
      <tp>
        <v>-9.2046003341674805</v>
        <stp/>
        <stp>BDP|7218288630071169925|22</stp>
        <stp>CHTR UW Equity</stp>
        <stp>RT_PX_CHG_PCT_1D</stp>
        <tr r="F96" s="2"/>
      </tp>
      <tp>
        <v>-5.0184001922607422</v>
        <stp/>
        <stp>BDP|1242389763588537338|22</stp>
        <stp>INCY UW Equity</stp>
        <stp>RT_PX_CHG_PCT_1D</stp>
        <tr r="F247" s="2"/>
      </tp>
      <tp>
        <v>110.1811</v>
        <stp/>
        <stp>BDP|8486065167722453358|22</stp>
        <stp>HWM UN Equity</stp>
        <stp>CHG_PCT_YTD_RT</stp>
        <tr r="J241" s="2"/>
      </tp>
      <tp>
        <v>538.86</v>
        <stp/>
        <stp>BDP|3352875072859612638|22</stp>
        <stp>ISRG UW Equity</stp>
        <stp>LAST_PRICE</stp>
        <tr r="C256" s="2"/>
        <tr r="D256" s="2"/>
        <tr r="E256" s="2"/>
        <tr r="B256" s="2"/>
      </tp>
      <tp>
        <v>-7.2055999999999996</v>
        <stp/>
        <stp>BDP|9728806362583246706|22</stp>
        <stp>WBD UW Equity</stp>
        <stp>CHG_PCT_YTD_RT</stp>
        <tr r="J488" s="2"/>
      </tp>
      <tp>
        <v>29467.95</v>
        <stp/>
        <stp>BDP|7705021884503971378|22</stp>
        <stp>SPBLPGPT Index</stp>
        <stp>LAST_PRICE</stp>
        <tr r="C515" s="2"/>
        <tr r="D515" s="2"/>
        <tr r="E515" s="2"/>
        <tr r="B515" s="2"/>
      </tp>
      <tp>
        <v>2.3588</v>
        <stp/>
        <stp>BDP|2432026926104998738|22</stp>
        <stp>TWSE Index</stp>
        <stp>REALTIME_5_DAY_CHANGE_PERCENT</stp>
        <tr r="G534" s="2"/>
      </tp>
      <tp>
        <v>0.3886</v>
        <stp/>
        <stp>BDP|5236586486972804917|22</stp>
        <stp>REG UW Equity</stp>
        <stp>REALTIME_5_DAY_CHANGE_PERCENT</stp>
        <tr r="G398" s="2"/>
      </tp>
      <tp>
        <v>-1.9021999999999999</v>
        <stp/>
        <stp>BDP|4968419273163981353|22</stp>
        <stp>EXR UN Equity</stp>
        <stp>CHG_PCT_1M_RT</stp>
        <tr r="H183" s="2"/>
      </tp>
      <tp>
        <v>-1.9795999526977539</v>
        <stp/>
        <stp>BDP|13562054738483639746|22</stp>
        <stp>PNC UN Equity</stp>
        <stp>RT_PX_CHG_PCT_1D</stp>
        <tr r="F382" s="2"/>
      </tp>
      <tp>
        <v>1.4700000174343586E-2</v>
        <stp/>
        <stp>BDP|15288557327391067349|22</stp>
        <stp>SYF UN Equity</stp>
        <stp>RT_PX_CHG_PCT_1D</stp>
        <tr r="F433" s="2"/>
      </tp>
      <tp>
        <v>-1.9174</v>
        <stp/>
        <stp>BDP|7157875828257807816|22</stp>
        <stp>EQR UN Equity</stp>
        <stp>CHG_PCT_3M_RT</stp>
        <tr r="I171" s="2"/>
      </tp>
      <tp>
        <v>0.1187</v>
        <stp/>
        <stp>BDP|1279142009908415957|22</stp>
        <stp>DRI UN Equity</stp>
        <stp>CHG_PCT_1M_RT</stp>
        <tr r="H150" s="2"/>
      </tp>
      <tp>
        <v>4.9733000000000001</v>
        <stp/>
        <stp>BDP|8667207617345118959|22</stp>
        <stp>EQT UN Equity</stp>
        <stp>CHG_PCT_1M_RT</stp>
        <tr r="H172" s="2"/>
      </tp>
      <tp>
        <v>-8.7106999999999992</v>
        <stp/>
        <stp>BDP|9923611207431909445|22</stp>
        <stp>CDW UW Equity</stp>
        <stp>CHG_PCT_1M_RT</stp>
        <tr r="H89" s="2"/>
      </tp>
      <tp>
        <v>1.252</v>
        <stp/>
        <stp>BDP|1372395293495449379|22</stp>
        <stp>SYF UN Equity</stp>
        <stp>REALTIME_5_DAY_CHANGE_PERCENT</stp>
        <tr r="G433" s="2"/>
      </tp>
      <tp>
        <v>9.5600000000000004E-2</v>
        <stp/>
        <stp>BDP|8666679080157858381|22</stp>
        <stp>CVX UN Equity</stp>
        <stp>CHG_PCT_1M_RT</stp>
        <tr r="H129" s="2"/>
      </tp>
      <tp>
        <v>25.806899999999999</v>
        <stp/>
        <stp>BDP|9084119592981124096|22</stp>
        <stp>ETN UN Equity</stp>
        <stp>CHG_PCT_3M_RT</stp>
        <tr r="I176" s="2"/>
      </tp>
      <tp>
        <v>-1.9036999999999999</v>
        <stp/>
        <stp>BDP|8200566413528321524|22</stp>
        <stp>OKE UN Equity</stp>
        <stp>CHG_PCT_1M_RT</stp>
        <tr r="H357" s="2"/>
      </tp>
      <tp>
        <v>-6.3792999999999997</v>
        <stp/>
        <stp>BDP|4368425563423542144|22</stp>
        <stp>ELV UN Equity</stp>
        <stp>CHG_PCT_1M_RT</stp>
        <tr r="H164" s="2"/>
      </tp>
      <tp>
        <v>-0.99060000000000004</v>
        <stp/>
        <stp>BDP|8825542494403758553|22</stp>
        <stp>AJG UN Equity</stp>
        <stp>CHG_PCT_1M_RT</stp>
        <tr r="H23" s="2"/>
      </tp>
      <tp>
        <v>-0.73409999999999997</v>
        <stp/>
        <stp>BDP|3188963705304073075|22</stp>
        <stp>DGX UN Equity</stp>
        <stp>CHG_PCT_1M_RT</stp>
        <tr r="H140" s="2"/>
      </tp>
      <tp>
        <v>-5.8100000023841858E-2</v>
        <stp/>
        <stp>BDP|11881033396924421473|22</stp>
        <stp>COP UN Equity</stp>
        <stp>RT_PX_CHG_PCT_1D</stp>
        <tr r="F110" s="2"/>
      </tp>
      <tp>
        <v>8.2425999999999995</v>
        <stp/>
        <stp>BDP|1512363382661239715|22</stp>
        <stp>FCX UN Equity</stp>
        <stp>CHG_PCT_3M_RT</stp>
        <tr r="I187" s="2"/>
      </tp>
      <tp>
        <v>3.5380001068115234</v>
        <stp/>
        <stp>BDP|14249439348624289010|22</stp>
        <stp>ELV UN Equity</stp>
        <stp>RT_PX_CHG_PCT_1D</stp>
        <tr r="F164" s="2"/>
      </tp>
      <tp>
        <v>-1.8162000179290771</v>
        <stp/>
        <stp>BDP|10840605451632354471|22</stp>
        <stp>DIS UN Equity</stp>
        <stp>RT_PX_CHG_PCT_1D</stp>
        <tr r="F143" s="2"/>
      </tp>
      <tp>
        <v>-0.46039998531341553</v>
        <stp/>
        <stp>BDP|17915269283163280212|22</stp>
        <stp>FDS UN Equity</stp>
        <stp>RT_PX_CHG_PCT_1D</stp>
        <tr r="F188" s="2"/>
      </tp>
      <tp>
        <v>-2.3106</v>
        <stp/>
        <stp>BDP|7658110909195703178|22</stp>
        <stp>COP UN Equity</stp>
        <stp>CHG_PCT_3M_RT</stp>
        <tr r="I110" s="2"/>
      </tp>
      <tp>
        <v>-16.679600000000001</v>
        <stp/>
        <stp>BDP|2575214966627755508|22</stp>
        <stp>CPB UW Equity</stp>
        <stp>CHG_PCT_3M_RT</stp>
        <tr r="I114" s="2"/>
      </tp>
      <tp>
        <v>3.5876999999999999</v>
        <stp/>
        <stp>BDP|4208935205677844466|22</stp>
        <stp>AMT UN Equity</stp>
        <stp>CHG_PCT_1M_RT</stp>
        <tr r="H35" s="2"/>
      </tp>
      <tp>
        <v>1.4967000484466553</v>
        <stp/>
        <stp>BDP|10824809932047596511|22</stp>
        <stp>DOC UN Equity</stp>
        <stp>RT_PX_CHG_PCT_1D</stp>
        <tr r="F146" s="2"/>
      </tp>
      <tp>
        <v>29.737400000000001</v>
        <stp/>
        <stp>BDP|4656577509060719994|22</stp>
        <stp>DIS UN Equity</stp>
        <stp>CHG_PCT_3M_RT</stp>
        <tr r="I143" s="2"/>
      </tp>
      <tp>
        <v>-0.39089998602867126</v>
        <stp/>
        <stp>BDP|16101303750034797609|22</stp>
        <stp>HCA UN Equity</stp>
        <stp>RT_PX_CHG_PCT_1D</stp>
        <tr r="F225" s="2"/>
      </tp>
      <tp>
        <v>-1.7488000392913818</v>
        <stp/>
        <stp>BDP|14214550114243137253|22</stp>
        <stp>KEY UN Equity</stp>
        <stp>RT_PX_CHG_PCT_1D</stp>
        <tr r="F270" s="2"/>
      </tp>
      <tp>
        <v>-2.5587</v>
        <stp/>
        <stp>BDP|9741481245022155912|22</stp>
        <stp>WEC UN Equity</stp>
        <stp>REALTIME_5_DAY_CHANGE_PERCENT</stp>
        <tr r="G490" s="2"/>
      </tp>
      <tp>
        <v>1.6827000000000001</v>
        <stp/>
        <stp>BDP|9644712359357659401|22</stp>
        <stp>COR UN Equity</stp>
        <stp>CHG_PCT_3M_RT</stp>
        <tr r="I111" s="2"/>
      </tp>
      <tp>
        <v>0.93669998645782471</v>
        <stp/>
        <stp>BDP|10375866156984231468|22</stp>
        <stp>AMT UN Equity</stp>
        <stp>RT_PX_CHG_PCT_1D</stp>
        <tr r="F35" s="2"/>
      </tp>
      <tp>
        <v>1.1654000282287598</v>
        <stp/>
        <stp>BDP|14140725462421237135|22</stp>
        <stp>NOC UN Equity</stp>
        <stp>RT_PX_CHG_PCT_1D</stp>
        <tr r="F343" s="2"/>
      </tp>
      <tp>
        <v>1.6008000373840332</v>
        <stp/>
        <stp>BDP|17062949470374797316|22</stp>
        <stp>HUM UN Equity</stp>
        <stp>RT_PX_CHG_PCT_1D</stp>
        <tr r="F240" s="2"/>
      </tp>
      <tp>
        <v>3.7221000000000002</v>
        <stp/>
        <stp>BDP|15568574921954520981|22</stp>
        <stp>SW UN Equity</stp>
        <stp>CHG_PCT_1M_RT</stp>
        <tr r="H430" s="2"/>
      </tp>
      <tp>
        <v>156.07</v>
        <stp/>
        <stp>BDP|16183227295343607436|22</stp>
        <stp>ICE UN Equity</stp>
        <stp>LAST_PRICE</stp>
        <tr r="C243" s="2"/>
        <tr r="D243" s="2"/>
        <tr r="E243" s="2"/>
        <tr r="B243" s="2"/>
      </tp>
      <tp>
        <v>1.298799991607666</v>
        <stp/>
        <stp>BDP|2555747876415632961|22</stp>
        <stp>LULU UW Equity</stp>
        <stp>RT_PX_CHG_PCT_1D</stp>
        <tr r="F294" s="2"/>
      </tp>
      <tp>
        <v>1258.49</v>
        <stp/>
        <stp>BDP|17632956133487620742|22</stp>
        <stp>TDG UN Equity</stp>
        <stp>LAST_PRICE</stp>
        <tr r="B438" s="2"/>
        <tr r="C438" s="2"/>
        <tr r="D438" s="2"/>
        <tr r="E438" s="2"/>
      </tp>
      <tp>
        <v>-54.097499999999997</v>
        <stp/>
        <stp>BDP|179062768657897299|22</stp>
        <stp>MRNA UW Equity</stp>
        <stp>CHG_PCT_YTD_RT</stp>
        <tr r="J326" s="2"/>
      </tp>
      <tp>
        <v>46.8</v>
        <stp/>
        <stp>BDP|17965734996065188308|22</stp>
        <stp>TFC UN Equity</stp>
        <stp>LAST_PRICE</stp>
        <tr r="E443" s="2"/>
        <tr r="B443" s="2"/>
        <tr r="C443" s="2"/>
        <tr r="D443" s="2"/>
      </tp>
      <tp>
        <v>-6.101600170135498</v>
        <stp/>
        <stp>BDP|7879015510195191528|22</stp>
        <stp>FICO UN Equity</stp>
        <stp>RT_PX_CHG_PCT_1D</stp>
        <tr r="F193" s="2"/>
      </tp>
      <tp>
        <v>2228858.75</v>
        <stp/>
        <stp>BDP|10504103039756148339|22</stp>
        <stp>MERVAL Index</stp>
        <stp>LAST_PRICE</stp>
        <tr r="D514" s="2"/>
        <tr r="E514" s="2"/>
        <tr r="B514" s="2"/>
        <tr r="C514" s="2"/>
      </tp>
      <tp>
        <v>4.4461000000000004</v>
        <stp/>
        <stp>BDP|17800350798747566949|22</stp>
        <stp>BX UN Equity</stp>
        <stp>CHG_PCT_1M_RT</stp>
        <tr r="H76" s="2"/>
      </tp>
      <tp>
        <v>235.91</v>
        <stp/>
        <stp>BDP|12187835347957012807|22</stp>
        <stp>DHR UN Equity</stp>
        <stp>LAST_PRICE</stp>
        <tr r="B142" s="2"/>
        <tr r="C142" s="2"/>
        <tr r="D142" s="2"/>
        <tr r="E142" s="2"/>
      </tp>
      <tp>
        <v>192.85</v>
        <stp/>
        <stp>BDP|13837600165951368393|22</stp>
        <stp>UHS UN Equity</stp>
        <stp>LAST_PRICE</stp>
        <tr r="B466" s="2"/>
        <tr r="C466" s="2"/>
        <tr r="D466" s="2"/>
        <tr r="E466" s="2"/>
      </tp>
      <tp>
        <v>376.45</v>
        <stp/>
        <stp>BDP|11203452288389565564|22</stp>
        <stp>SHW UN Equity</stp>
        <stp>LAST_PRICE</stp>
        <tr r="E414" s="2"/>
        <tr r="B414" s="2"/>
        <tr r="C414" s="2"/>
        <tr r="D414" s="2"/>
      </tp>
      <tp>
        <v>-1.7407000064849854</v>
        <stp/>
        <stp>BDP|9897910107016359126|22</stp>
        <stp>LDOS UN Equity</stp>
        <stp>RT_PX_CHG_PCT_1D</stp>
        <tr r="F283" s="2"/>
      </tp>
      <tp>
        <v>0.43349999189376831</v>
        <stp/>
        <stp>BDP|9864173205514518707|22</stp>
        <stp>MKTX UW Equity</stp>
        <stp>RT_PX_CHG_PCT_1D</stp>
        <tr r="F315" s="2"/>
      </tp>
      <tp>
        <v>27.253799999999998</v>
        <stp/>
        <stp>BDP|4824845933056910841|22</stp>
        <stp>MAR UW Equity</stp>
        <stp>CHG_PCT_YTD_RT</stp>
        <tr r="J302" s="2"/>
      </tp>
      <tp>
        <v>246.75</v>
        <stp/>
        <stp>BDP|9683331456621357104|22</stp>
        <stp>AAPL UW Equity</stp>
        <stp>LAST_PRICE</stp>
        <tr r="D6" s="2"/>
        <tr r="E6" s="2"/>
        <tr r="B6" s="2"/>
        <tr r="C6" s="2"/>
      </tp>
      <tp>
        <v>5.3555999999999999</v>
        <stp/>
        <stp>BDP|16867888527013153011|22</stp>
        <stp>A UN Equity</stp>
        <stp>CHG_PCT_1M_RT</stp>
        <tr r="H5" s="2"/>
      </tp>
      <tp>
        <v>11.8209</v>
        <stp/>
        <stp>BDP|7982211809225110534|22</stp>
        <stp>REG UW Equity</stp>
        <stp>CHG_PCT_YTD_RT</stp>
        <tr r="J398" s="2"/>
      </tp>
      <tp>
        <v>-0.52170000000000005</v>
        <stp/>
        <stp>BDP|3899083726648282155|22</stp>
        <stp>AVY UN Equity</stp>
        <stp>CHG_PCT_1M_RT</stp>
        <tr r="H50" s="2"/>
      </tp>
      <tp>
        <v>3.2170999999999998</v>
        <stp/>
        <stp>BDP|9627477880077236828|22</stp>
        <stp>GEN UW Equity</stp>
        <stp>CHG_PCT_1M_RT</stp>
        <tr r="H207" s="2"/>
      </tp>
      <tp>
        <v>-1.0048999999999999</v>
        <stp/>
        <stp>BDP|8800164810588431796|22</stp>
        <stp>HPQ UN Equity</stp>
        <stp>CHG_PCT_1M_RT</stp>
        <tr r="H234" s="2"/>
      </tp>
      <tp>
        <v>0.53259999999999996</v>
        <stp/>
        <stp>BDP|6152665411557718168|22</stp>
        <stp>BSX UN Equity</stp>
        <stp>CHG_PCT_1M_RT</stp>
        <tr r="H74" s="2"/>
      </tp>
      <tp>
        <v>-4.8711000000000002</v>
        <stp/>
        <stp>BDP|1219356768117360202|22</stp>
        <stp>FIS UN Equity</stp>
        <stp>CHG_PCT_1M_RT</stp>
        <tr r="H194" s="2"/>
      </tp>
      <tp>
        <v>-7.8715999999999999</v>
        <stp/>
        <stp>BDP|4916092044534802551|22</stp>
        <stp>UNH UN Equity</stp>
        <stp>REALTIME_5_DAY_CHANGE_PERCENT</stp>
        <tr r="G468" s="2"/>
      </tp>
      <tp>
        <v>13.1274</v>
        <stp/>
        <stp>BDP|7777374402631988338|22</stp>
        <stp>AIZ UN Equity</stp>
        <stp>CHG_PCT_3M_RT</stp>
        <tr r="I22" s="2"/>
      </tp>
      <tp>
        <v>0.53849999999999998</v>
        <stp/>
        <stp>BDP|1599812972434873958|22</stp>
        <stp>ROK UN Equity</stp>
        <stp>REALTIME_5_DAY_CHANGE_PERCENT</stp>
        <tr r="G404" s="2"/>
      </tp>
      <tp>
        <v>-1.7237999439239502</v>
        <stp/>
        <stp>BDP|16978744328595756091|22</stp>
        <stp>COF UN Equity</stp>
        <stp>RT_PX_CHG_PCT_1D</stp>
        <tr r="F108" s="2"/>
      </tp>
      <tp>
        <v>0.28099998831748962</v>
        <stp/>
        <stp>BDP|15607284892684348644|22</stp>
        <stp>FRT UN Equity</stp>
        <stp>RT_PX_CHG_PCT_1D</stp>
        <tr r="F199" s="2"/>
      </tp>
      <tp>
        <v>-0.90510000000000002</v>
        <stp/>
        <stp>BDP|8401112638418951608|22</stp>
        <stp>UDR UN Equity</stp>
        <stp>REALTIME_5_DAY_CHANGE_PERCENT</stp>
        <tr r="G465" s="2"/>
      </tp>
      <tp>
        <v>-0.62429999999999997</v>
        <stp/>
        <stp>BDP|9090248298238463452|22</stp>
        <stp>PNR UN Equity</stp>
        <stp>REALTIME_5_DAY_CHANGE_PERCENT</stp>
        <tr r="G383" s="2"/>
      </tp>
      <tp>
        <v>1.5662000179290771</v>
        <stp/>
        <stp>BDP|11956017716727845813|22</stp>
        <stp>LEN UN Equity</stp>
        <stp>RT_PX_CHG_PCT_1D</stp>
        <tr r="F284" s="2"/>
      </tp>
      <tp>
        <v>19.1858</v>
        <stp/>
        <stp>BDP|1375047089281246228|22</stp>
        <stp>BLK UN Equity</stp>
        <stp>CHG_PCT_3M_RT</stp>
        <tr r="I69" s="2"/>
      </tp>
      <tp>
        <v>-3.4135</v>
        <stp/>
        <stp>BDP|9657554089442383662|22</stp>
        <stp>IFF UN Equity</stp>
        <stp>CHG_PCT_1M_RT</stp>
        <tr r="H246" s="2"/>
      </tp>
      <tp>
        <v>2.4821000099182129</v>
        <stp/>
        <stp>BDP|14441102050340916656|22</stp>
        <stp>OXY UN Equity</stp>
        <stp>RT_PX_CHG_PCT_1D</stp>
        <tr r="F363" s="2"/>
      </tp>
      <tp>
        <v>54.34</v>
        <stp/>
        <stp>BDP|15464395403249767576|22</stp>
        <stp>SW UN Equity</stp>
        <stp>LAST_PRICE</stp>
        <tr r="E430" s="2"/>
        <tr r="B430" s="2"/>
        <tr r="C430" s="2"/>
        <tr r="D430" s="2"/>
      </tp>
      <tp>
        <v>1.7438000440597534</v>
        <stp/>
        <stp>BDP|16181512040171436588|22</stp>
        <stp>ON UW Equity</stp>
        <stp>RT_PX_CHG_PCT_1D</stp>
        <tr r="F359" s="2"/>
      </tp>
      <tp>
        <v>803.58</v>
        <stp/>
        <stp>BDP|17154202115830953260|22</stp>
        <stp>LLY UN Equity</stp>
        <stp>LAST_PRICE</stp>
        <tr r="B289" s="2"/>
        <tr r="C289" s="2"/>
        <tr r="D289" s="2"/>
        <tr r="E289" s="2"/>
      </tp>
      <tp>
        <v>1.0023000240325928</v>
        <stp/>
        <stp>BDP|8626824597021954466|22</stp>
        <stp>DECK UN Equity</stp>
        <stp>RT_PX_CHG_PCT_1D</stp>
        <tr r="F136" s="2"/>
      </tp>
      <tp>
        <v>21.211200000000002</v>
        <stp/>
        <stp>BDP|1543949969943435545|22</stp>
        <stp>BKR UW Equity</stp>
        <stp>CHG_PCT_YTD_RT</stp>
        <tr r="J67" s="2"/>
      </tp>
      <tp>
        <v>228.86</v>
        <stp/>
        <stp>BDP|2604486278839978492|22</stp>
        <stp>TMUS UW Equity</stp>
        <stp>LAST_PRICE</stp>
        <tr r="D448" s="2"/>
        <tr r="E448" s="2"/>
        <tr r="B448" s="2"/>
        <tr r="C448" s="2"/>
      </tp>
      <tp>
        <v>0.84030000000000005</v>
        <stp/>
        <stp>BDP|2029187532412038559|22</stp>
        <stp>KDP UW Equity</stp>
        <stp>CHG_PCT_YTD_RT</stp>
        <tr r="J269" s="2"/>
      </tp>
      <tp>
        <v>58.385800000000003</v>
        <stp/>
        <stp>BDP|7540209952591502347|22</stp>
        <stp>AXP UN Equity</stp>
        <stp>CHG_PCT_YTD_RT</stp>
        <tr r="J53" s="2"/>
      </tp>
      <tp>
        <v>156.67590000000001</v>
        <stp/>
        <stp>BDP|8083176857104417226|22</stp>
        <stp>TPL UN Equity</stp>
        <stp>CHG_PCT_YTD_RT</stp>
        <tr r="J449" s="2"/>
      </tp>
      <tp>
        <v>69.510000000000005</v>
        <stp/>
        <stp>BDP|9773251892618125545|22</stp>
        <stp>QRVO UW Equity</stp>
        <stp>LAST_PRICE</stp>
        <tr r="C396" s="2"/>
        <tr r="D396" s="2"/>
        <tr r="E396" s="2"/>
        <tr r="B396" s="2"/>
      </tp>
      <tp>
        <v>-0.96220000000000006</v>
        <stp/>
        <stp>BDP|5059017719709584064|22</stp>
        <stp>AWK UN Equity</stp>
        <stp>CHG_PCT_YTD_RT</stp>
        <tr r="J51" s="2"/>
      </tp>
      <tp>
        <v>33.605699999999999</v>
        <stp/>
        <stp>BDP|8361716628835481077|22</stp>
        <stp>CRM UN Equity</stp>
        <stp>CHG_PCT_YTD_RT</stp>
        <tr r="J118" s="2"/>
      </tp>
      <tp>
        <v>-8.9776000000000007</v>
        <stp/>
        <stp>BDP|4687961351782458583|22</stp>
        <stp>NUE UN Equity</stp>
        <stp>CHG_PCT_1M_RT</stp>
        <tr r="H349" s="2"/>
      </tp>
      <tp>
        <v>25.539200000000001</v>
        <stp/>
        <stp>BDP|9864280743755301967|22</stp>
        <stp>MAR UW Equity</stp>
        <stp>CHG_PCT_3M_RT</stp>
        <tr r="I302" s="2"/>
      </tp>
      <tp>
        <v>-0.15190000000000001</v>
        <stp/>
        <stp>BDP|1834246392986749033|22</stp>
        <stp>WST UN Equity</stp>
        <stp>REALTIME_5_DAY_CHANGE_PERCENT</stp>
        <tr r="G497" s="2"/>
      </tp>
      <tp>
        <v>-2.1867000000000001</v>
        <stp/>
        <stp>BDP|8572450186409191633|22</stp>
        <stp>SYK UN Equity</stp>
        <stp>REALTIME_5_DAY_CHANGE_PERCENT</stp>
        <tr r="G434" s="2"/>
      </tp>
      <tp>
        <v>-6.6308999999999996</v>
        <stp/>
        <stp>BDP|7862296747842594861|22</stp>
        <stp>OXY UN Equity</stp>
        <stp>CHG_PCT_3M_RT</stp>
        <tr r="I363" s="2"/>
      </tp>
      <tp>
        <v>1.1171000003814697</v>
        <stp/>
        <stp>BDP|16505753304385224003|22</stp>
        <stp>ROK UN Equity</stp>
        <stp>RT_PX_CHG_PCT_1D</stp>
        <tr r="F404" s="2"/>
      </tp>
      <tp>
        <v>0.18129999935626984</v>
        <stp/>
        <stp>BDP|18268462202916854799|22</stp>
        <stp>TXN UW Equity</stp>
        <stp>RT_PX_CHG_PCT_1D</stp>
        <tr r="F460" s="2"/>
      </tp>
      <tp>
        <v>-8.1181000000000001</v>
        <stp/>
        <stp>BDP|1989714534407805527|22</stp>
        <stp>COO UW Equity</stp>
        <stp>CHG_PCT_3M_RT</stp>
        <tr r="I109" s="2"/>
      </tp>
      <tp>
        <v>-7.2800000000000004E-2</v>
        <stp/>
        <stp>BDP|3716505030723060345|22</stp>
        <stp>NRG UN Equity</stp>
        <stp>CHG_PCT_1M_RT</stp>
        <tr r="H345" s="2"/>
      </tp>
      <tp>
        <v>0.56410002708435059</v>
        <stp/>
        <stp>BDP|12126982862203355516|22</stp>
        <stp>UNP UN Equity</stp>
        <stp>RT_PX_CHG_PCT_1D</stp>
        <tr r="F469" s="2"/>
      </tp>
      <tp>
        <v>-3.249500036239624</v>
        <stp/>
        <stp>BDP|13381818791098209661|22</stp>
        <stp>GEV UN Equity</stp>
        <stp>RT_PX_CHG_PCT_1D</stp>
        <tr r="F208" s="2"/>
      </tp>
      <tp>
        <v>1.7627999782562256</v>
        <stp/>
        <stp>BDP|14785060770277135088|22</stp>
        <stp>AOS UN Equity</stp>
        <stp>RT_PX_CHG_PCT_1D</stp>
        <tr r="F41" s="2"/>
      </tp>
      <tp>
        <v>-0.43099999999999999</v>
        <stp/>
        <stp>BDP|7209276395069621204|22</stp>
        <stp>GLW UN Equity</stp>
        <stp>CHG_PCT_1M_RT</stp>
        <tr r="H212" s="2"/>
      </tp>
      <tp>
        <v>-3.9283999999999999</v>
        <stp/>
        <stp>BDP|8121573659239043172|22</stp>
        <stp>MKC UN Equity</stp>
        <stp>CHG_PCT_3M_RT</stp>
        <tr r="I314" s="2"/>
      </tp>
      <tp>
        <v>-1.2538000345230103</v>
        <stp/>
        <stp>BDP|13791607807215748819|22</stp>
        <stp>CMG UN Equity</stp>
        <stp>RT_PX_CHG_PCT_1D</stp>
        <tr r="F103" s="2"/>
      </tp>
      <tp>
        <v>1.8403999805450439</v>
        <stp/>
        <stp>BDP|16997343315375102568|22</stp>
        <stp>BDX UN Equity</stp>
        <stp>RT_PX_CHG_PCT_1D</stp>
        <tr r="F60" s="2"/>
      </tp>
      <tp>
        <v>-1.0388999999999999</v>
        <stp/>
        <stp>BDP|4093949285512992733|22</stp>
        <stp>HIG UN Equity</stp>
        <stp>CHG_PCT_1M_RT</stp>
        <tr r="H228" s="2"/>
      </tp>
      <tp>
        <v>-7.0105000000000004</v>
        <stp/>
        <stp>BDP|9385691036364194984|22</stp>
        <stp>MOH UN Equity</stp>
        <stp>CHG_PCT_1M_RT</stp>
        <tr r="H321" s="2"/>
      </tp>
      <tp>
        <v>42.5366</v>
        <stp/>
        <stp>BDP|8404332016993593762|22</stp>
        <stp>DAL UN Equity</stp>
        <stp>CHG_PCT_3M_RT</stp>
        <tr r="I132" s="2"/>
      </tp>
      <tp>
        <v>0.59310001134872437</v>
        <stp/>
        <stp>BDP|13923254341146507606|22</stp>
        <stp>EXR UN Equity</stp>
        <stp>RT_PX_CHG_PCT_1D</stp>
        <tr r="F183" s="2"/>
      </tp>
      <tp>
        <v>-1.3307</v>
        <stp/>
        <stp>BDP|9680995999401865103|22</stp>
        <stp>FDX UN Equity</stp>
        <stp>CHG_PCT_3M_RT</stp>
        <tr r="I189" s="2"/>
      </tp>
      <tp>
        <v>-11.526300000000001</v>
        <stp/>
        <stp>BDP|5349124979179111628|22</stp>
        <stp>LLY UN Equity</stp>
        <stp>CHG_PCT_3M_RT</stp>
        <tr r="I289" s="2"/>
      </tp>
      <tp>
        <v>-3.1045000553131104</v>
        <stp/>
        <stp>BDP|12064277230916711618|22</stp>
        <stp>MMC UN Equity</stp>
        <stp>RT_PX_CHG_PCT_1D</stp>
        <tr r="F317" s="2"/>
      </tp>
      <tp>
        <v>0.18990000000000001</v>
        <stp/>
        <stp>BDP|2938380865236171222|22</stp>
        <stp>HES UN Equity</stp>
        <stp>CHG_PCT_1M_RT</stp>
        <tr r="H227" s="2"/>
      </tp>
      <tp>
        <v>8.4411000000000005</v>
        <stp/>
        <stp>BDP|3448888068124632210|22</stp>
        <stp>BMY UN Equity</stp>
        <stp>CHG_PCT_1M_RT</stp>
        <tr r="H70" s="2"/>
      </tp>
      <tp>
        <v>3.496</v>
        <stp/>
        <stp>BDP|1667820592262001276|22</stp>
        <stp>TGT UN Equity</stp>
        <stp>REALTIME_5_DAY_CHANGE_PERCENT</stp>
        <tr r="G445" s="2"/>
      </tp>
      <tp>
        <v>-1.4495</v>
        <stp/>
        <stp>BDP|9951910787545979881|22</stp>
        <stp>ABT UN Equity</stp>
        <stp>CHG_PCT_1M_RT</stp>
        <tr r="H9" s="2"/>
      </tp>
      <tp>
        <v>1.4565999999999999</v>
        <stp/>
        <stp>BDP|4401565252668293821|22</stp>
        <stp>WAB UN Equity</stp>
        <stp>REALTIME_5_DAY_CHANGE_PERCENT</stp>
        <tr r="G485" s="2"/>
      </tp>
      <tp>
        <v>-1.8337000000000001</v>
        <stp/>
        <stp>BDP|6511246362171440331|22</stp>
        <stp>TEL UN Equity</stp>
        <stp>REALTIME_5_DAY_CHANGE_PERCENT</stp>
        <tr r="G441" s="2"/>
      </tp>
      <tp>
        <v>-1.1150000095367432</v>
        <stp/>
        <stp>BDP|16396894721203772199|22</stp>
        <stp>MLM UN Equity</stp>
        <stp>RT_PX_CHG_PCT_1D</stp>
        <tr r="F316" s="2"/>
      </tp>
      <tp>
        <v>105.12</v>
        <stp/>
        <stp>BDP|17962171323411683594|22</stp>
        <stp>OKE UN Equity</stp>
        <stp>LAST_PRICE</stp>
        <tr r="B357" s="2"/>
        <tr r="C357" s="2"/>
        <tr r="D357" s="2"/>
        <tr r="E357" s="2"/>
      </tp>
      <tp>
        <v>383.42</v>
        <stp/>
        <stp>BDP|10563638752282679755|22</stp>
        <stp>CMI UN Equity</stp>
        <stp>LAST_PRICE</stp>
        <tr r="E104" s="2"/>
        <tr r="D104" s="2"/>
        <tr r="B104" s="2"/>
        <tr r="C104" s="2"/>
      </tp>
      <tp>
        <v>359.5</v>
        <stp/>
        <stp>BDP|17326904339354905120|22</stp>
        <stp>ACN UN Equity</stp>
        <stp>LAST_PRICE</stp>
        <tr r="C11" s="2"/>
        <tr r="D11" s="2"/>
        <tr r="E11" s="2"/>
        <tr r="B11" s="2"/>
      </tp>
      <tp>
        <v>29.08</v>
        <stp/>
        <stp>BDP|15113361756741369821|22</stp>
        <stp>HAL UN Equity</stp>
        <stp>LAST_PRICE</stp>
        <tr r="D222" s="2"/>
        <tr r="E222" s="2"/>
        <tr r="B222" s="2"/>
        <tr r="C222" s="2"/>
      </tp>
      <tp>
        <v>4.3221999999999996</v>
        <stp/>
        <stp>BDP|15955830930213451028|22</stp>
        <stp>WM UN Equity</stp>
        <stp>CHG_PCT_3M_RT</stp>
        <tr r="I493" s="2"/>
      </tp>
      <tp>
        <v>-5.1637000000000004</v>
        <stp/>
        <stp>BDP|14784726119352622785|22</stp>
        <stp>GM UN Equity</stp>
        <stp>CHG_PCT_1M_RT</stp>
        <tr r="H213" s="2"/>
      </tp>
      <tp>
        <v>-1.7747000455856323</v>
        <stp/>
        <stp>BDP|8221061309646418284|22</stp>
        <stp>NDAQ UW Equity</stp>
        <stp>RT_PX_CHG_PCT_1D</stp>
        <tr r="F336" s="2"/>
      </tp>
      <tp>
        <v>0.25560000538825989</v>
        <stp/>
        <stp>BDP|3923032066355587605|22</stp>
        <stp>ABNB UW Equity</stp>
        <stp>RT_PX_CHG_PCT_1D</stp>
        <tr r="F8" s="2"/>
      </tp>
      <tp>
        <v>0.72839999198913574</v>
        <stp/>
        <stp>BDP|3422896199764676768|22</stp>
        <stp>CDNS UW Equity</stp>
        <stp>RT_PX_CHG_PCT_1D</stp>
        <tr r="F88" s="2"/>
      </tp>
      <tp>
        <v>17.160299999999999</v>
        <stp/>
        <stp>BDP|11509161639572488926|22</stp>
        <stp>IP UN Equity</stp>
        <stp>CHG_PCT_3M_RT</stp>
        <tr r="I251" s="2"/>
      </tp>
      <tp>
        <v>48.51</v>
        <stp/>
        <stp>BDP|13312924477028749290|22</stp>
        <stp>GLW UN Equity</stp>
        <stp>LAST_PRICE</stp>
        <tr r="D212" s="2"/>
        <tr r="E212" s="2"/>
        <tr r="B212" s="2"/>
        <tr r="C212" s="2"/>
      </tp>
      <tp>
        <v>17.680399999999999</v>
        <stp/>
        <stp>BDP|1639741558061627545|22</stp>
        <stp>AEP UW Equity</stp>
        <stp>CHG_PCT_YTD_RT</stp>
        <tr r="J18" s="2"/>
      </tp>
      <tp>
        <v>508.49</v>
        <stp/>
        <stp>BDP|8650216140517604833|22</stp>
        <stp>SNPS UW Equity</stp>
        <stp>LAST_PRICE</stp>
        <tr r="D419" s="2"/>
        <tr r="E419" s="2"/>
        <tr r="B419" s="2"/>
        <tr r="C419" s="2"/>
      </tp>
      <tp>
        <v>255.43</v>
        <stp/>
        <stp>BDP|6042250026628581479|22</stp>
        <stp>NDSN UW Equity</stp>
        <stp>LAST_PRICE</stp>
        <tr r="B337" s="2"/>
        <tr r="C337" s="2"/>
        <tr r="D337" s="2"/>
        <tr r="E337" s="2"/>
      </tp>
      <tp>
        <v>50.8782</v>
        <stp/>
        <stp>BDP|6531510990003866426|22</stp>
        <stp>DVA UN Equity</stp>
        <stp>CHG_PCT_YTD_RT</stp>
        <tr r="J153" s="2"/>
      </tp>
      <tp>
        <v>-1.7909999999999999</v>
        <stp/>
        <stp>BDP|13581230267403727132|22</stp>
        <stp>O UN Equity</stp>
        <stp>CHG_PCT_1M_RT</stp>
        <tr r="H355" s="2"/>
      </tp>
      <tp>
        <v>-3.3517999999999999</v>
        <stp/>
        <stp>BDP|9238508158462953610|22</stp>
        <stp>GWW UN Equity</stp>
        <stp>CHG_PCT_1M_RT</stp>
        <tr r="H221" s="2"/>
      </tp>
      <tp>
        <v>2.1972999999999998</v>
        <stp/>
        <stp>BDP|1645708533717147216|22</stp>
        <stp>MAR UW Equity</stp>
        <stp>CHG_PCT_1M_RT</stp>
        <tr r="H302" s="2"/>
      </tp>
      <tp>
        <v>-14.294</v>
        <stp/>
        <stp>BDP|5536810391972350929|22</stp>
        <stp>IQV UN Equity</stp>
        <stp>CHG_PCT_3M_RT</stp>
        <tr r="I253" s="2"/>
      </tp>
      <tp>
        <v>1.0535000562667847</v>
        <stp/>
        <stp>BDP|15345356355350452464|22</stp>
        <stp>YUM UN Equity</stp>
        <stp>RT_PX_CHG_PCT_1D</stp>
        <tr r="F504" s="2"/>
      </tp>
      <tp>
        <v>-3.6781000000000001</v>
        <stp/>
        <stp>BDP|3697458409955711139|22</stp>
        <stp>LIN UW Equity</stp>
        <stp>CHG_PCT_1M_RT</stp>
        <tr r="H287" s="2"/>
      </tp>
      <tp>
        <v>-3.6713</v>
        <stp/>
        <stp>BDP|9497086337128965502|22</stp>
        <stp>SWK UN Equity</stp>
        <stp>REALTIME_5_DAY_CHANGE_PERCENT</stp>
        <tr r="G431" s="2"/>
      </tp>
      <tp>
        <v>-3.3624000000000001</v>
        <stp/>
        <stp>BDP|9055640518378580252|22</stp>
        <stp>LLY UN Equity</stp>
        <stp>CHG_PCT_1M_RT</stp>
        <tr r="H289" s="2"/>
      </tp>
      <tp>
        <v>-10.938499999999999</v>
        <stp/>
        <stp>BDP|2549561382901264087|22</stp>
        <stp>EFX UN Equity</stp>
        <stp>CHG_PCT_3M_RT</stp>
        <tr r="I160" s="2"/>
      </tp>
      <tp>
        <v>-4.6749000000000001</v>
        <stp/>
        <stp>BDP|3428634166520975440|22</stp>
        <stp>EOG UN Equity</stp>
        <stp>CHG_PCT_1M_RT</stp>
        <tr r="H168" s="2"/>
      </tp>
      <tp>
        <v>16.8917</v>
        <stp/>
        <stp>BDP|5189909063136577305|22</stp>
        <stp>CCMP Index</stp>
        <stp>CHG_PCT_3M_RT</stp>
        <tr r="I508" s="2"/>
      </tp>
      <tp>
        <v>-9.6623999999999999</v>
        <stp/>
        <stp>BDP|1945457190046987948|22</stp>
        <stp>LMT UN Equity</stp>
        <stp>CHG_PCT_1M_RT</stp>
        <tr r="H290" s="2"/>
      </tp>
      <tp>
        <v>1.0424000024795532</v>
        <stp/>
        <stp>BDP|14740328988101254208|22</stp>
        <stp>HAL UN Equity</stp>
        <stp>RT_PX_CHG_PCT_1D</stp>
        <tr r="F222" s="2"/>
      </tp>
      <tp>
        <v>-4.1283000000000003</v>
        <stp/>
        <stp>BDP|7432914132761591165|22</stp>
        <stp>TXN UW Equity</stp>
        <stp>REALTIME_5_DAY_CHANGE_PERCENT</stp>
        <tr r="G460" s="2"/>
      </tp>
      <tp>
        <v>-11.143000000000001</v>
        <stp/>
        <stp>BDP|3187580376705110568|22</stp>
        <stp>OMC UN Equity</stp>
        <stp>CHG_PCT_1M_RT</stp>
        <tr r="H358" s="2"/>
      </tp>
      <tp>
        <v>3.7909000000000002</v>
        <stp/>
        <stp>BDP|6486367807499851314|22</stp>
        <stp>MOS UN Equity</stp>
        <stp>CHG_PCT_3M_RT</stp>
        <tr r="I322" s="2"/>
      </tp>
      <tp>
        <v>1.3371000289916992</v>
        <stp/>
        <stp>BDP|18071237133100486579|22</stp>
        <stp>LKQ UW Equity</stp>
        <stp>RT_PX_CHG_PCT_1D</stp>
        <tr r="F288" s="2"/>
      </tp>
      <tp>
        <v>-9.6684000000000001</v>
        <stp/>
        <stp>BDP|2767957718525692399|22</stp>
        <stp>KMB UN Equity</stp>
        <stp>CHG_PCT_3M_RT</stp>
        <tr r="I276" s="2"/>
      </tp>
      <tp>
        <v>-1.9846999999999999</v>
        <stp/>
        <stp>BDP|8460289511296696585|22</stp>
        <stp>AIG UN Equity</stp>
        <stp>CHG_PCT_1M_RT</stp>
        <tr r="H21" s="2"/>
      </tp>
      <tp>
        <v>-1.5155999660491943</v>
        <stp/>
        <stp>BDP|16625914596462133181|22</stp>
        <stp>HAS UW Equity</stp>
        <stp>RT_PX_CHG_PCT_1D</stp>
        <tr r="F223" s="2"/>
      </tp>
      <tp>
        <v>-8.0542999999999996</v>
        <stp/>
        <stp>BDP|1727005810355893231|22</stp>
        <stp>BAX UN Equity</stp>
        <stp>CHG_PCT_1M_RT</stp>
        <tr r="H58" s="2"/>
      </tp>
      <tp>
        <v>30.961500000000001</v>
        <stp/>
        <stp>BDP|8647430037806682102|22</stp>
        <stp>NOW UN Equity</stp>
        <stp>CHG_PCT_3M_RT</stp>
        <tr r="I344" s="2"/>
      </tp>
      <tp>
        <v>0.56469999999999998</v>
        <stp/>
        <stp>BDP|5003695877518436298|22</stp>
        <stp>GIS UN Equity</stp>
        <stp>CHG_PCT_1M_RT</stp>
        <tr r="H210" s="2"/>
      </tp>
      <tp>
        <v>7437.73</v>
        <stp/>
        <stp>BDP|8802325076792073578|22</stp>
        <stp>JCI Index</stp>
        <stp>LAST_PRICE</stp>
        <tr r="E535" s="2"/>
        <tr r="B535" s="2"/>
        <tr r="C535" s="2"/>
        <tr r="D535" s="2"/>
      </tp>
      <tp>
        <v>-0.86970001459121704</v>
        <stp/>
        <stp>BDP|17496633969616351337|22</stp>
        <stp>EG UN Equity</stp>
        <stp>RT_PX_CHG_PCT_1D</stp>
        <tr r="F161" s="2"/>
      </tp>
      <tp>
        <v>-0.39050000905990601</v>
        <stp/>
        <stp>BDP|11869000484521332518|22</stp>
        <stp>FE UN Equity</stp>
        <stp>RT_PX_CHG_PCT_1D</stp>
        <tr r="F190" s="2"/>
      </tp>
      <tp>
        <v>-0.33399999141693115</v>
        <stp/>
        <stp>BDP|2557990878557501658|22</stp>
        <stp>TRMB UW Equity</stp>
        <stp>RT_PX_CHG_PCT_1D</stp>
        <tr r="F452" s="2"/>
      </tp>
      <tp>
        <v>74.92</v>
        <stp/>
        <stp>BDP|18263697179252650365|22</stp>
        <stp>REG UW Equity</stp>
        <stp>LAST_PRICE</stp>
        <tr r="B398" s="2"/>
        <tr r="E398" s="2"/>
        <tr r="C398" s="2"/>
        <tr r="D398" s="2"/>
      </tp>
      <tp>
        <v>31.72</v>
        <stp/>
        <stp>BDP|11539221490398012780|22</stp>
        <stp>KHC UW Equity</stp>
        <stp>LAST_PRICE</stp>
        <tr r="C272" s="2"/>
        <tr r="D272" s="2"/>
        <tr r="E272" s="2"/>
        <tr r="B272" s="2"/>
      </tp>
      <tp>
        <v>1.6636999845504761</v>
        <stp/>
        <stp>BDP|3895780891662053693|22</stp>
        <stp>WYNN UW Equity</stp>
        <stp>RT_PX_CHG_PCT_1D</stp>
        <tr r="F500" s="2"/>
      </tp>
      <tp>
        <v>-2.3085</v>
        <stp/>
        <stp>BDP|15889414933114050156|22</stp>
        <stp>MO UN Equity</stp>
        <stp>REALTIME_5_DAY_CHANGE_PERCENT</stp>
        <tr r="G320" s="2"/>
      </tp>
      <tp>
        <v>159.47</v>
        <stp/>
        <stp>BDP|18402085600733614370|22</stp>
        <stp>PEP UW Equity</stp>
        <stp>LAST_PRICE</stp>
        <tr r="D371" s="2"/>
        <tr r="E371" s="2"/>
        <tr r="B371" s="2"/>
        <tr r="C371" s="2"/>
      </tp>
      <tp>
        <v>16.1281</v>
        <stp/>
        <stp>BDP|6787839454905173302|22</stp>
        <stp>EIX UN Equity</stp>
        <stp>CHG_PCT_YTD_RT</stp>
        <tr r="J162" s="2"/>
      </tp>
      <tp>
        <v>0.14879999999999999</v>
        <stp/>
        <stp>BDP|1843821598002269288|22</stp>
        <stp>FDS UN Equity</stp>
        <stp>CHG_PCT_YTD_RT</stp>
        <tr r="J188" s="2"/>
      </tp>
      <tp>
        <v>-0.51499998569488525</v>
        <stp/>
        <stp>BDP|5859302211841527727|22</stp>
        <stp>SPBLPGPT Index</stp>
        <stp>RT_PX_CHG_PCT_1D</stp>
        <tr r="F515" s="2"/>
      </tp>
      <tp>
        <v>25.890899999999998</v>
        <stp/>
        <stp>BDP|2550480166798069239|22</stp>
        <stp>PNW UN Equity</stp>
        <stp>CHG_PCT_YTD_RT</stp>
        <tr r="J384" s="2"/>
      </tp>
      <tp>
        <v>-2.7221000000000002</v>
        <stp/>
        <stp>BDP|3450951867570754245|22</stp>
        <stp>HST UW Equity</stp>
        <stp>CHG_PCT_YTD_RT</stp>
        <tr r="J237" s="2"/>
      </tp>
      <tp>
        <v>24.421600000000002</v>
        <stp/>
        <stp>BDP|8190438495550703419|22</stp>
        <stp>MET UN Equity</stp>
        <stp>CHG_PCT_YTD_RT</stp>
        <tr r="J310" s="2"/>
      </tp>
      <tp>
        <v>-21.8003</v>
        <stp/>
        <stp>BDP|3952464849765781169|22</stp>
        <stp>CZR UW Equity</stp>
        <stp>CHG_PCT_YTD_RT</stp>
        <tr r="J130" s="2"/>
      </tp>
      <tp>
        <v>463.87</v>
        <stp/>
        <stp>BDP|10755615642720747387|22</stp>
        <stp>BRK/B UN Equity</stp>
        <stp>LAST_PRICE</stp>
        <tr r="E72" s="2"/>
        <tr r="D72" s="2"/>
        <tr r="B72" s="2"/>
        <tr r="C72" s="2"/>
      </tp>
      <tp>
        <v>-0.1487</v>
        <stp/>
        <stp>BDP|11466044908353997508|22</stp>
        <stp>K UN Equity</stp>
        <stp>REALTIME_5_DAY_CHANGE_PERCENT</stp>
        <tr r="G268" s="2"/>
      </tp>
      <tp>
        <v>21.5215</v>
        <stp/>
        <stp>BDP|8813954215763903458|22</stp>
        <stp>ICE UN Equity</stp>
        <stp>CHG_PCT_YTD_RT</stp>
        <tr r="J243" s="2"/>
      </tp>
      <tp>
        <v>176.91</v>
        <stp/>
        <stp>BDP|1751923825921004368|22</stp>
        <stp>GNRC UN Equity</stp>
        <stp>LAST_PRICE</stp>
        <tr r="B214" s="2"/>
        <tr r="C214" s="2"/>
        <tr r="D214" s="2"/>
        <tr r="E214" s="2"/>
      </tp>
      <tp>
        <v>6.4866000000000001</v>
        <stp/>
        <stp>BDP|8282183537163062330|22</stp>
        <stp>UNH UN Equity</stp>
        <stp>CHG_PCT_YTD_RT</stp>
        <tr r="J468" s="2"/>
      </tp>
      <tp>
        <v>-3.7801</v>
        <stp/>
        <stp>BDP|3865199784313635528|22</stp>
        <stp>RTX UN Equity</stp>
        <stp>CHG_PCT_3M_RT</stp>
        <tr r="I409" s="2"/>
      </tp>
      <tp>
        <v>-3.4689000000000001</v>
        <stp/>
        <stp>BDP|7078131750023526914|22</stp>
        <stp>DVA UN Equity</stp>
        <stp>REALTIME_5_DAY_CHANGE_PERCENT</stp>
        <tr r="G153" s="2"/>
      </tp>
      <tp>
        <v>-1.4862</v>
        <stp/>
        <stp>BDP|6556342309495545523|22</stp>
        <stp>FOX UW Equity</stp>
        <stp>REALTIME_5_DAY_CHANGE_PERCENT</stp>
        <tr r="G197" s="2"/>
      </tp>
      <tp>
        <v>18.850100000000001</v>
        <stp/>
        <stp>BDP|3855835143014342961|22</stp>
        <stp>STT UN Equity</stp>
        <stp>CHG_PCT_3M_RT</stp>
        <tr r="I427" s="2"/>
      </tp>
      <tp>
        <v>-7.8579999999999997</v>
        <stp/>
        <stp>BDP|2943929465934773078|22</stp>
        <stp>HAL UN Equity</stp>
        <stp>REALTIME_5_DAY_CHANGE_PERCENT</stp>
        <tr r="G222" s="2"/>
      </tp>
      <tp>
        <v>-6.3808999999999996</v>
        <stp/>
        <stp>BDP|8270570686603434326|22</stp>
        <stp>MMC UN Equity</stp>
        <stp>REALTIME_5_DAY_CHANGE_PERCENT</stp>
        <tr r="G317" s="2"/>
      </tp>
      <tp>
        <v>-2.5390999999999999</v>
        <stp/>
        <stp>BDP|8672751830428946559|22</stp>
        <stp>AIG UN Equity</stp>
        <stp>REALTIME_5_DAY_CHANGE_PERCENT</stp>
        <tr r="G21" s="2"/>
      </tp>
      <tp t="s">
        <v>#N/A N/A</v>
        <stp/>
        <stp>BDP|1822155561369142932|22</stp>
        <stp>RTSI$ Index</stp>
        <stp>LAST_PRICE</stp>
        <tr r="E526" s="2"/>
        <tr r="B526" s="2"/>
        <tr r="C526" s="2"/>
        <tr r="D526" s="2"/>
      </tp>
      <tp>
        <v>-0.68049999999999999</v>
        <stp/>
        <stp>BDP|8383282131711576788|22</stp>
        <stp>JBL UN Equity</stp>
        <stp>REALTIME_5_DAY_CHANGE_PERCENT</stp>
        <tr r="G262" s="2"/>
      </tp>
      <tp>
        <v>-0.72670000000000001</v>
        <stp/>
        <stp>BDP|2986558835475575652|22</stp>
        <stp>CAH UN Equity</stp>
        <stp>REALTIME_5_DAY_CHANGE_PERCENT</stp>
        <tr r="G80" s="2"/>
      </tp>
      <tp>
        <v>0.91930000000000001</v>
        <stp/>
        <stp>BDP|9628532814259917182|22</stp>
        <stp>MAS UN Equity</stp>
        <stp>REALTIME_5_DAY_CHANGE_PERCENT</stp>
        <tr r="G303" s="2"/>
      </tp>
      <tp>
        <v>6.8489000000000004</v>
        <stp/>
        <stp>BDP|4993517882994672249|22</stp>
        <stp>TJX UN Equity</stp>
        <stp>CHG_PCT_1M_RT</stp>
        <tr r="H446" s="2"/>
      </tp>
      <tp>
        <v>429.18</v>
        <stp/>
        <stp>BDP|16953709558979484274|22</stp>
        <stp>HD UN Equity</stp>
        <stp>LAST_PRICE</stp>
        <tr r="E226" s="2"/>
        <tr r="B226" s="2"/>
        <tr r="D226" s="2"/>
        <tr r="C226" s="2"/>
      </tp>
      <tp>
        <v>236</v>
        <stp/>
        <stp>BDP|13060141617024535143|22</stp>
        <stp>LH UN Equity</stp>
        <stp>LAST_PRICE</stp>
        <tr r="B285" s="2"/>
        <tr r="C285" s="2"/>
        <tr r="D285" s="2"/>
        <tr r="E285" s="2"/>
      </tp>
      <tp>
        <v>256.83999999999997</v>
        <stp/>
        <stp>BDP|11926639266922940504|22</stp>
        <stp>NSC UN Equity</stp>
        <stp>LAST_PRICE</stp>
        <tr r="E346" s="2"/>
        <tr r="B346" s="2"/>
        <tr r="C346" s="2"/>
        <tr r="D346" s="2"/>
      </tp>
      <tp>
        <v>226.99</v>
        <stp/>
        <stp>BDP|13402638763708418892|22</stp>
        <stp>AVB UN Equity</stp>
        <stp>LAST_PRICE</stp>
        <tr r="D48" s="2"/>
        <tr r="E48" s="2"/>
        <tr r="B48" s="2"/>
        <tr r="C48" s="2"/>
      </tp>
      <tp>
        <v>2.5708999633789063</v>
        <stp/>
        <stp>BDP|2248282304938190855|22</stp>
        <stp>VRTX UW Equity</stp>
        <stp>RT_PX_CHG_PCT_1D</stp>
        <tr r="F480" s="2"/>
      </tp>
      <tp>
        <v>236.72</v>
        <stp/>
        <stp>BDP|14472249817513757582|22</stp>
        <stp>CME UW Equity</stp>
        <stp>LAST_PRICE</stp>
        <tr r="B102" s="2"/>
        <tr r="C102" s="2"/>
        <tr r="D102" s="2"/>
        <tr r="E102" s="2"/>
      </tp>
      <tp>
        <v>-7.1483999999999996</v>
        <stp/>
        <stp>BDP|11251143877805679536|22</stp>
        <stp>FI UN Equity</stp>
        <stp>REALTIME_5_DAY_CHANGE_PERCENT</stp>
        <tr r="G192" s="2"/>
      </tp>
      <tp>
        <v>60.91</v>
        <stp/>
        <stp>BDP|10346176507342013122|22</stp>
        <stp>LNT UW Equity</stp>
        <stp>LAST_PRICE</stp>
        <tr r="D291" s="2"/>
        <tr r="E291" s="2"/>
        <tr r="B291" s="2"/>
        <tr r="C291" s="2"/>
      </tp>
      <tp>
        <v>55.17</v>
        <stp/>
        <stp>BDP|12729730756437702430|22</stp>
        <stp>LVS UN Equity</stp>
        <stp>LAST_PRICE</stp>
        <tr r="C296" s="2"/>
        <tr r="D296" s="2"/>
        <tr r="E296" s="2"/>
        <tr r="B296" s="2"/>
      </tp>
      <tp>
        <v>4.3880999999999997</v>
        <stp/>
        <stp>BDP|9678274390236194394|22</stp>
        <stp>ABT UN Equity</stp>
        <stp>CHG_PCT_YTD_RT</stp>
        <tr r="J9" s="2"/>
      </tp>
      <tp>
        <v>57.259799999999998</v>
        <stp/>
        <stp>BDP|8778824917327425599|22</stp>
        <stp>DFS UN Equity</stp>
        <stp>CHG_PCT_YTD_RT</stp>
        <tr r="J138" s="2"/>
      </tp>
      <tp>
        <v>-2.0190000000000001</v>
        <stp/>
        <stp>BDP|7909140892212535212|22</stp>
        <stp>CSX UW Equity</stp>
        <stp>CHG_PCT_YTD_RT</stp>
        <tr r="J122" s="2"/>
      </tp>
      <tp>
        <v>160.74</v>
        <stp/>
        <stp>BDP|9109460253314009473|22</stp>
        <stp>QCOM UW Equity</stp>
        <stp>LAST_PRICE</stp>
        <tr r="D395" s="2"/>
        <tr r="E395" s="2"/>
        <tr r="B395" s="2"/>
        <tr r="C395" s="2"/>
      </tp>
      <tp>
        <v>-4.1540999999999997</v>
        <stp/>
        <stp>BDP|6657469753331400983|22</stp>
        <stp>MTB UN Equity</stp>
        <stp>REALTIME_5_DAY_CHANGE_PERCENT</stp>
        <tr r="G331" s="2"/>
      </tp>
      <tp>
        <v>-2.6227</v>
        <stp/>
        <stp>BDP|1240317231247270955|22</stp>
        <stp>STZ UN Equity</stp>
        <stp>CHG_PCT_3M_RT</stp>
        <tr r="I429" s="2"/>
      </tp>
      <tp>
        <v>2.5828000000000002</v>
        <stp/>
        <stp>BDP|6701813478188000587|22</stp>
        <stp>XEL UW Equity</stp>
        <stp>CHG_PCT_1M_RT</stp>
        <tr r="H501" s="2"/>
      </tp>
      <tp>
        <v>17.809699999999999</v>
        <stp/>
        <stp>BDP|5429750922095583643|22</stp>
        <stp>INDU Index</stp>
        <stp>CHG_PCT_YTD_RT</stp>
        <tr r="J3" s="2"/>
      </tp>
      <tp>
        <v>3.1606999999999998</v>
        <stp/>
        <stp>BDP|2084419857478808708|22</stp>
        <stp>MRK UN Equity</stp>
        <stp>REALTIME_5_DAY_CHANGE_PERCENT</stp>
        <tr r="G325" s="2"/>
      </tp>
      <tp>
        <v>96.964100000000002</v>
        <stp/>
        <stp>BDP|9102267689760922675|22</stp>
        <stp>UAL UW Equity</stp>
        <stp>CHG_PCT_3M_RT</stp>
        <tr r="I463" s="2"/>
      </tp>
      <tp>
        <v>-5.8587999999999996</v>
        <stp/>
        <stp>BDP|6696759934580366890|22</stp>
        <stp>TXT UN Equity</stp>
        <stp>CHG_PCT_1M_RT</stp>
        <tr r="H461" s="2"/>
      </tp>
      <tp>
        <v>-7.0829000000000004</v>
        <stp/>
        <stp>BDP|6973608113745659063|22</stp>
        <stp>ZTS UN Equity</stp>
        <stp>CHG_PCT_3M_RT</stp>
        <tr r="I507" s="2"/>
      </tp>
      <tp>
        <v>3.3923999999999999</v>
        <stp/>
        <stp>BDP|6049704867350102849|22</stp>
        <stp>SYY UN Equity</stp>
        <stp>CHG_PCT_3M_RT</stp>
        <tr r="I435" s="2"/>
      </tp>
      <tp>
        <v>-2.1922999999999999</v>
        <stp/>
        <stp>BDP|3555689934124915144|22</stp>
        <stp>ETN UN Equity</stp>
        <stp>REALTIME_5_DAY_CHANGE_PERCENT</stp>
        <tr r="G176" s="2"/>
      </tp>
      <tp>
        <v>-0.39900000000000002</v>
        <stp/>
        <stp>BDP|4176767229654514132|22</stp>
        <stp>PKG UN Equity</stp>
        <stp>CHG_PCT_1M_RT</stp>
        <tr r="H378" s="2"/>
      </tp>
      <tp>
        <v>-5.3784999999999998</v>
        <stp/>
        <stp>BDP|9876800156803865204|22</stp>
        <stp>LHX UN Equity</stp>
        <stp>REALTIME_5_DAY_CHANGE_PERCENT</stp>
        <tr r="G286" s="2"/>
      </tp>
      <tp>
        <v>0.99660000000000004</v>
        <stp/>
        <stp>BDP|4716164460628742700|22</stp>
        <stp>WAB UN Equity</stp>
        <stp>CHG_PCT_1M_RT</stp>
        <tr r="H485" s="2"/>
      </tp>
      <tp>
        <v>-1.2999000000000001</v>
        <stp/>
        <stp>BDP|2001429881487047416|22</stp>
        <stp>SNA UN Equity</stp>
        <stp>CHG_PCT_1M_RT</stp>
        <tr r="H418" s="2"/>
      </tp>
      <tp>
        <v>-2.9826999999999999</v>
        <stp/>
        <stp>BDP|4175167121897558595|22</stp>
        <stp>KEY UN Equity</stp>
        <stp>REALTIME_5_DAY_CHANGE_PERCENT</stp>
        <tr r="G270" s="2"/>
      </tp>
      <tp>
        <v>-1.6351</v>
        <stp/>
        <stp>BDP|4689954715979846758|22</stp>
        <stp>ABT UN Equity</stp>
        <stp>REALTIME_5_DAY_CHANGE_PERCENT</stp>
        <tr r="G9" s="2"/>
      </tp>
      <tp>
        <v>10.609500000000001</v>
        <stp/>
        <stp>BDP|9576431636902482091|22</stp>
        <stp>WMT UN Equity</stp>
        <stp>CHG_PCT_1M_RT</stp>
        <tr r="H495" s="2"/>
      </tp>
      <tp>
        <v>835.89</v>
        <stp/>
        <stp>BDP|14368470399175660810|22</stp>
        <stp>URI UN Equity</stp>
        <stp>LAST_PRICE</stp>
        <tr r="B471" s="2"/>
        <tr r="E471" s="2"/>
        <tr r="C471" s="2"/>
        <tr r="D471" s="2"/>
      </tp>
      <tp>
        <v>33.15</v>
        <stp/>
        <stp>BDP|11450056253633270175|22</stp>
        <stp>PPL UN Equity</stp>
        <stp>LAST_PRICE</stp>
        <tr r="C388" s="2"/>
        <tr r="D388" s="2"/>
        <tr r="E388" s="2"/>
        <tr r="B388" s="2"/>
      </tp>
      <tp>
        <v>4.875999927520752</v>
        <stp/>
        <stp>BDP|6438674643957130097|22</stp>
        <stp>VRSN UW Equity</stp>
        <stp>RT_PX_CHG_PCT_1D</stp>
        <tr r="F479" s="2"/>
      </tp>
      <tp>
        <v>7.5019999999999998</v>
        <stp/>
        <stp>BDP|13708249594145368972|22</stp>
        <stp>EL UN Equity</stp>
        <stp>REALTIME_5_DAY_CHANGE_PERCENT</stp>
        <tr r="G163" s="2"/>
      </tp>
      <tp>
        <v>0.52359998226165771</v>
        <stp/>
        <stp>BDP|8328810322013544637|22</stp>
        <stp>SMCI UW Equity</stp>
        <stp>RT_PX_CHG_PCT_1D</stp>
        <tr r="F417" s="2"/>
      </tp>
      <tp>
        <v>28.703499999999998</v>
        <stp/>
        <stp>BDP|770294617943075847|22</stp>
        <stp>NTRS UW Equity</stp>
        <stp>CHG_PCT_YTD_RT</stp>
        <tr r="J348" s="2"/>
      </tp>
      <tp>
        <v>446.02</v>
        <stp/>
        <stp>BDP|5818901168539804716|22</stp>
        <stp>MSFT UW Equity</stp>
        <stp>LAST_PRICE</stp>
        <tr r="B329" s="2"/>
        <tr r="C329" s="2"/>
        <tr r="D329" s="2"/>
        <tr r="E329" s="2"/>
      </tp>
      <tp>
        <v>968.98</v>
        <stp/>
        <stp>BDP|6621549705925916288|22</stp>
        <stp>EQIX UW Equity</stp>
        <stp>LAST_PRICE</stp>
        <tr r="B170" s="2"/>
        <tr r="C170" s="2"/>
        <tr r="D170" s="2"/>
        <tr r="E170" s="2"/>
      </tp>
      <tp>
        <v>-16.095500000000001</v>
        <stp/>
        <stp>BDP|6281401159405921808|22</stp>
        <stp>ELV UN Equity</stp>
        <stp>CHG_PCT_YTD_RT</stp>
        <tr r="J164" s="2"/>
      </tp>
      <tp>
        <v>0.65839999999999999</v>
        <stp/>
        <stp>BDP|18334950668100519885|22</stp>
        <stp>C UN Equity</stp>
        <stp>REALTIME_5_DAY_CHANGE_PERCENT</stp>
        <tr r="G78" s="2"/>
      </tp>
      <tp>
        <v>14.077500000000001</v>
        <stp/>
        <stp>BDP|6468080632476416834|22</stp>
        <stp>PTC UW Equity</stp>
        <stp>CHG_PCT_YTD_RT</stp>
        <tr r="J392" s="2"/>
      </tp>
      <tp>
        <v>5149.6000000000004</v>
        <stp/>
        <stp>BDP|5659727020845479118|22</stp>
        <stp>BKNG UW Equity</stp>
        <stp>LAST_PRICE</stp>
        <tr r="B66" s="2"/>
        <tr r="C66" s="2"/>
        <tr r="D66" s="2"/>
        <tr r="E66" s="2"/>
      </tp>
      <tp>
        <v>-25.142700000000001</v>
        <stp/>
        <stp>BDP|9461908331883517395|22</stp>
        <stp>BEN UN Equity</stp>
        <stp>CHG_PCT_YTD_RT</stp>
        <tr r="J61" s="2"/>
      </tp>
      <tp>
        <v>2.4607999999999999</v>
        <stp/>
        <stp>BDP|1425281307448883901|22</stp>
        <stp>WRB UN Equity</stp>
        <stp>CHG_PCT_1M_RT</stp>
        <tr r="H496" s="2"/>
      </tp>
      <tp>
        <v>7.8186</v>
        <stp/>
        <stp>BDP|3762307893307038390|22</stp>
        <stp>TER UW Equity</stp>
        <stp>CHG_PCT_1M_RT</stp>
        <tr r="H442" s="2"/>
      </tp>
      <tp>
        <v>20.109500000000001</v>
        <stp/>
        <stp>BDP|2182354757732715207|22</stp>
        <stp>URI UN Equity</stp>
        <stp>CHG_PCT_3M_RT</stp>
        <tr r="I471" s="2"/>
      </tp>
      <tp>
        <v>-0.81610000000000005</v>
        <stp/>
        <stp>BDP|2798579133640588561|22</stp>
        <stp>HII UN Equity</stp>
        <stp>REALTIME_5_DAY_CHANGE_PERCENT</stp>
        <tr r="G229" s="2"/>
      </tp>
      <tp>
        <v>2.4237000000000002</v>
        <stp/>
        <stp>BDP|1509560641785011898|22</stp>
        <stp>PEG UN Equity</stp>
        <stp>CHG_PCT_1M_RT</stp>
        <tr r="H370" s="2"/>
      </tp>
      <tp>
        <v>-4.6548999999999996</v>
        <stp/>
        <stp>BDP|5424904445551270675|22</stp>
        <stp>SLB UN Equity</stp>
        <stp>CHG_PCT_1M_RT</stp>
        <tr r="H416" s="2"/>
      </tp>
      <tp>
        <v>-1.4025000000000001</v>
        <stp/>
        <stp>BDP|3416575371881449548|22</stp>
        <stp>ICE UN Equity</stp>
        <stp>REALTIME_5_DAY_CHANGE_PERCENT</stp>
        <tr r="G243" s="2"/>
      </tp>
      <tp>
        <v>55.78</v>
        <stp/>
        <stp>BDP|16619021539532689535|22</stp>
        <stp>IP UN Equity</stp>
        <stp>LAST_PRICE</stp>
        <tr r="D251" s="2"/>
        <tr r="E251" s="2"/>
        <tr r="B251" s="2"/>
        <tr r="C251" s="2"/>
      </tp>
      <tp>
        <v>55.86</v>
        <stp/>
        <stp>BDP|11773896323800452751|22</stp>
        <stp>MO UN Equity</stp>
        <stp>LAST_PRICE</stp>
        <tr r="C320" s="2"/>
        <tr r="D320" s="2"/>
        <tr r="E320" s="2"/>
        <tr r="B320" s="2"/>
      </tp>
      <tp>
        <v>36.61</v>
        <stp/>
        <stp>BDP|10632855236536412866|22</stp>
        <stp>NI UN Equity</stp>
        <stp>LAST_PRICE</stp>
        <tr r="B341" s="2"/>
        <tr r="C341" s="2"/>
        <tr r="D341" s="2"/>
        <tr r="E341" s="2"/>
      </tp>
      <tp>
        <v>-1.3972</v>
        <stp/>
        <stp>BDP|12908347424838579575|22</stp>
        <stp>SW UN Equity</stp>
        <stp>REALTIME_5_DAY_CHANGE_PERCENT</stp>
        <tr r="G430" s="2"/>
      </tp>
      <tp>
        <v>316.62</v>
        <stp/>
        <stp>BDP|16456364858377805014|22</stp>
        <stp>APD UN Equity</stp>
        <stp>LAST_PRICE</stp>
        <tr r="E43" s="2"/>
        <tr r="B43" s="2"/>
        <tr r="C43" s="2"/>
        <tr r="D43" s="2"/>
      </tp>
      <tp>
        <v>215.63</v>
        <stp/>
        <stp>BDP|10679697450100202000|22</stp>
        <stp>STE UN Equity</stp>
        <stp>LAST_PRICE</stp>
        <tr r="B425" s="2"/>
        <tr r="C425" s="2"/>
        <tr r="D425" s="2"/>
        <tr r="E425" s="2"/>
      </tp>
      <tp>
        <v>3324.01</v>
        <stp/>
        <stp>BDP|17764760901804627969|22</stp>
        <stp>AZO UN Equity</stp>
        <stp>LAST_PRICE</stp>
        <tr r="B54" s="2"/>
        <tr r="C54" s="2"/>
        <tr r="D54" s="2"/>
        <tr r="E54" s="2"/>
      </tp>
      <tp>
        <v>34.299999999999997</v>
        <stp/>
        <stp>BDP|14268908293621847575|22</stp>
        <stp>BWA UN Equity</stp>
        <stp>LAST_PRICE</stp>
        <tr r="B75" s="2"/>
        <tr r="E75" s="2"/>
        <tr r="C75" s="2"/>
        <tr r="D75" s="2"/>
      </tp>
      <tp>
        <v>1327.04</v>
        <stp/>
        <stp>BDP|10129117106822658407|22</stp>
        <stp>TPL UN Equity</stp>
        <stp>LAST_PRICE</stp>
        <tr r="C449" s="2"/>
        <tr r="D449" s="2"/>
        <tr r="E449" s="2"/>
        <tr r="B449" s="2"/>
      </tp>
      <tp>
        <v>115.1836</v>
        <stp/>
        <stp>BDP|454745092560731353|22</stp>
        <stp>TRGP UN Equity</stp>
        <stp>CHG_PCT_YTD_RT</stp>
        <tr r="J451" s="2"/>
      </tp>
      <tp>
        <v>-3.7766000000000002</v>
        <stp/>
        <stp>BDP|14964686148277563189|22</stp>
        <stp>ED UN Equity</stp>
        <stp>REALTIME_5_DAY_CHANGE_PERCENT</stp>
        <tr r="G159" s="2"/>
      </tp>
      <tp>
        <v>-0.215</v>
        <stp/>
        <stp>BDP|12851503771011323609|22</stp>
        <stp>DD UN Equity</stp>
        <stp>REALTIME_5_DAY_CHANGE_PERCENT</stp>
        <tr r="G134" s="2"/>
      </tp>
      <tp>
        <v>114.21</v>
        <stp/>
        <stp>BDP|16488018208080312353|22</stp>
        <stp>FRT UN Equity</stp>
        <stp>LAST_PRICE</stp>
        <tr r="E199" s="2"/>
        <tr r="B199" s="2"/>
        <tr r="C199" s="2"/>
        <tr r="D199" s="2"/>
      </tp>
      <tp>
        <v>-0.52960002422332764</v>
        <stp/>
        <stp>BDP|6971524813981818126|22</stp>
        <stp>UBER UN Equity</stp>
        <stp>RT_PX_CHG_PCT_1D</stp>
        <tr r="F464" s="2"/>
      </tp>
      <tp>
        <v>13.6304</v>
        <stp/>
        <stp>BDP|6310089888943134725|22</stp>
        <stp>KMX UN Equity</stp>
        <stp>CHG_PCT_YTD_RT</stp>
        <tr r="J278" s="2"/>
      </tp>
      <tp t="s">
        <v>#N/A N/A</v>
        <stp/>
        <stp>BDP|1233935194800664399|22</stp>
        <stp>GEV UN Equity</stp>
        <stp>CHG_PCT_YTD_RT</stp>
        <tr r="J208" s="2"/>
      </tp>
      <tp>
        <v>257.92</v>
        <stp/>
        <stp>BDP|6065654634854014664|22</stp>
        <stp>FFIV UW Equity</stp>
        <stp>LAST_PRICE</stp>
        <tr r="E191" s="2"/>
        <tr r="B191" s="2"/>
        <tr r="C191" s="2"/>
        <tr r="D191" s="2"/>
      </tp>
      <tp>
        <v>642.59</v>
        <stp/>
        <stp>BDP|4052515932733314816|22</stp>
        <stp>AXON UW Equity</stp>
        <stp>LAST_PRICE</stp>
        <tr r="D52" s="2"/>
        <tr r="E52" s="2"/>
        <tr r="B52" s="2"/>
        <tr r="C52" s="2"/>
      </tp>
      <tp>
        <v>-13.413399999999999</v>
        <stp/>
        <stp>BDP|3848905617344289413|22</stp>
        <stp>PLD UN Equity</stp>
        <stp>CHG_PCT_YTD_RT</stp>
        <tr r="J379" s="2"/>
      </tp>
      <tp>
        <v>178.94</v>
        <stp/>
        <stp>BDP|4195158905011015183|22</stp>
        <stp>AVGO UW Equity</stp>
        <stp>LAST_PRICE</stp>
        <tr r="C49" s="2"/>
        <tr r="D49" s="2"/>
        <tr r="E49" s="2"/>
        <tr r="B49" s="2"/>
      </tp>
      <tp>
        <v>10.0778</v>
        <stp/>
        <stp>BDP|7580329049987178689|22</stp>
        <stp>IFF UN Equity</stp>
        <stp>CHG_PCT_YTD_RT</stp>
        <tr r="J246" s="2"/>
      </tp>
      <tp>
        <v>22.7669</v>
        <stp/>
        <stp>BDP|4979005397712721682|22</stp>
        <stp>SNA UN Equity</stp>
        <stp>CHG_PCT_YTD_RT</stp>
        <tr r="J418" s="2"/>
      </tp>
      <tp>
        <v>5.7047999999999996</v>
        <stp/>
        <stp>BDP|5439830016350619425|22</stp>
        <stp>EOG UN Equity</stp>
        <stp>CHG_PCT_YTD_RT</stp>
        <tr r="J168" s="2"/>
      </tp>
      <tp>
        <v>22.9832</v>
        <stp/>
        <stp>BDP|7204625615301411339|22</stp>
        <stp>NEE UN Equity</stp>
        <stp>CHG_PCT_YTD_RT</stp>
        <tr r="J338" s="2"/>
      </tp>
      <tp>
        <v>4.5172999999999996</v>
        <stp/>
        <stp>BDP|9850207042555204310|22</stp>
        <stp>VST UN Equity</stp>
        <stp>CHG_PCT_1M_RT</stp>
        <tr r="H481" s="2"/>
      </tp>
      <tp>
        <v>3.09E-2</v>
        <stp/>
        <stp>BDP|7593721147553048612|22</stp>
        <stp>XYL UN Equity</stp>
        <stp>CHG_PCT_3M_RT</stp>
        <tr r="I503" s="2"/>
      </tp>
      <tp>
        <v>0.75219999999999998</v>
        <stp/>
        <stp>BDP|8934767374038739855|22</stp>
        <stp>ZTS UN Equity</stp>
        <stp>CHG_PCT_1M_RT</stp>
        <tr r="H507" s="2"/>
      </tp>
      <tp>
        <v>1.3629</v>
        <stp/>
        <stp>BDP|5735659112033439748|22</stp>
        <stp>YUM UN Equity</stp>
        <stp>CHG_PCT_1M_RT</stp>
        <tr r="H504" s="2"/>
      </tp>
      <tp>
        <v>-2.3504999999999998</v>
        <stp/>
        <stp>BDP|8788227002756009895|22</stp>
        <stp>HUM UN Equity</stp>
        <stp>REALTIME_5_DAY_CHANGE_PERCENT</stp>
        <tr r="G240" s="2"/>
      </tp>
      <tp>
        <v>-2.4077999999999999</v>
        <stp/>
        <stp>BDP|1879645443431507059|22</stp>
        <stp>ETR UN Equity</stp>
        <stp>REALTIME_5_DAY_CHANGE_PERCENT</stp>
        <tr r="G177" s="2"/>
      </tp>
      <tp>
        <v>-7.5397999999999996</v>
        <stp/>
        <stp>BDP|2291634003937620086|22</stp>
        <stp>NUE UN Equity</stp>
        <stp>REALTIME_5_DAY_CHANGE_PERCENT</stp>
        <tr r="G349" s="2"/>
      </tp>
      <tp>
        <v>-3.4171999999999998</v>
        <stp/>
        <stp>BDP|2368525921815877858|22</stp>
        <stp>PFG UW Equity</stp>
        <stp>CHG_PCT_1M_RT</stp>
        <tr r="H373" s="2"/>
      </tp>
      <tp>
        <v>1.0676000000000001</v>
        <stp/>
        <stp>BDP|9340395433028031584|22</stp>
        <stp>PPG UN Equity</stp>
        <stp>CHG_PCT_1M_RT</stp>
        <tr r="H387" s="2"/>
      </tp>
      <tp>
        <v>-2.0520999999999998</v>
        <stp/>
        <stp>BDP|5607889305699563350|22</stp>
        <stp>BMY UN Equity</stp>
        <stp>REALTIME_5_DAY_CHANGE_PERCENT</stp>
        <tr r="G70" s="2"/>
      </tp>
      <tp>
        <v>3.5057</v>
        <stp/>
        <stp>BDP|9635475285040874263|22</stp>
        <stp>PTC UW Equity</stp>
        <stp>CHG_PCT_1M_RT</stp>
        <tr r="H392" s="2"/>
      </tp>
      <tp>
        <v>0.51639999999999997</v>
        <stp/>
        <stp>BDP|4534535023597202368|22</stp>
        <stp>CLX UN Equity</stp>
        <stp>REALTIME_5_DAY_CHANGE_PERCENT</stp>
        <tr r="G100" s="2"/>
      </tp>
      <tp>
        <v>1.6221000000000001</v>
        <stp/>
        <stp>BDP|9273279304076218976|22</stp>
        <stp>CMI UN Equity</stp>
        <stp>REALTIME_5_DAY_CHANGE_PERCENT</stp>
        <tr r="G104" s="2"/>
      </tp>
      <tp>
        <v>-2.2959000000000001</v>
        <stp/>
        <stp>BDP|2848806676494214276|22</stp>
        <stp>TEL UN Equity</stp>
        <stp>CHG_PCT_1M_RT</stp>
        <tr r="H441" s="2"/>
      </tp>
      <tp>
        <v>2.3719000000000001</v>
        <stp/>
        <stp>BDP|3075456627438250477|22</stp>
        <stp>WEC UN Equity</stp>
        <stp>CHG_PCT_3M_RT</stp>
        <tr r="I490" s="2"/>
      </tp>
      <tp>
        <v>1.8807</v>
        <stp/>
        <stp>BDP|2467997267830962362|22</stp>
        <stp>SLB UN Equity</stp>
        <stp>CHG_PCT_3M_RT</stp>
        <tr r="I416" s="2"/>
      </tp>
      <tp>
        <v>-1.8136000000000001</v>
        <stp/>
        <stp>BDP|3114771834664162406|22</stp>
        <stp>DAL UN Equity</stp>
        <stp>REALTIME_5_DAY_CHANGE_PERCENT</stp>
        <tr r="G132" s="2"/>
      </tp>
      <tp>
        <v>1.5768</v>
        <stp/>
        <stp>BDP|4291533385965935561|22</stp>
        <stp>IBOV Index</stp>
        <stp>REALTIME_5_DAY_CHANGE_PERCENT</stp>
        <tr r="G511" s="2"/>
      </tp>
      <tp>
        <v>-9.6742000000000008</v>
        <stp/>
        <stp>BDP|2727859382421695181|22</stp>
        <stp>TGT UN Equity</stp>
        <stp>CHG_PCT_1M_RT</stp>
        <tr r="H445" s="2"/>
      </tp>
      <tp>
        <v>269.57</v>
        <stp/>
        <stp>BDP|12850950921043474007|22</stp>
        <stp>GD UN Equity</stp>
        <stp>LAST_PRICE</stp>
        <tr r="E203" s="2"/>
        <tr r="B203" s="2"/>
        <tr r="C203" s="2"/>
        <tr r="D203" s="2"/>
      </tp>
      <tp>
        <v>-3.3978999999999999</v>
        <stp/>
        <stp>BDP|11793587467910690404|22</stp>
        <stp>VZ UN Equity</stp>
        <stp>REALTIME_5_DAY_CHANGE_PERCENT</stp>
        <tr r="G484" s="2"/>
      </tp>
      <tp>
        <v>201.75</v>
        <stp/>
        <stp>BDP|16778777112542098044|22</stp>
        <stp>CRL UN Equity</stp>
        <stp>LAST_PRICE</stp>
        <tr r="C117" s="2"/>
        <tr r="D117" s="2"/>
        <tr r="E117" s="2"/>
        <tr r="B117" s="2"/>
      </tp>
      <tp>
        <v>111.86</v>
        <stp/>
        <stp>BDP|12149274936483079540|22</stp>
        <stp>DUK UN Equity</stp>
        <stp>LAST_PRICE</stp>
        <tr r="E152" s="2"/>
        <tr r="D152" s="2"/>
        <tr r="B152" s="2"/>
        <tr r="C152" s="2"/>
      </tp>
      <tp>
        <v>-2.0964999999999998</v>
        <stp/>
        <stp>BDP|11233433621471778609|22</stp>
        <stp>PH UN Equity</stp>
        <stp>REALTIME_5_DAY_CHANGE_PERCENT</stp>
        <tr r="G376" s="2"/>
      </tp>
      <tp>
        <v>-5.0542999999999996</v>
        <stp/>
        <stp>BDP|17703834474219642818|22</stp>
        <stp>GE UN Equity</stp>
        <stp>REALTIME_5_DAY_CHANGE_PERCENT</stp>
        <tr r="G205" s="2"/>
      </tp>
      <tp>
        <v>1162.05</v>
        <stp/>
        <stp>BDP|17132714818500628608|22</stp>
        <stp>GWW UN Equity</stp>
        <stp>LAST_PRICE</stp>
        <tr r="B221" s="2"/>
        <tr r="C221" s="2"/>
        <tr r="E221" s="2"/>
        <tr r="D221" s="2"/>
      </tp>
      <tp>
        <v>128.53</v>
        <stp/>
        <stp>BDP|10176483122820333653|22</stp>
        <stp>UPS UN Equity</stp>
        <stp>LAST_PRICE</stp>
        <tr r="B470" s="2"/>
        <tr r="C470" s="2"/>
        <tr r="D470" s="2"/>
        <tr r="E470" s="2"/>
      </tp>
      <tp>
        <v>78.45</v>
        <stp/>
        <stp>BDP|14932515234881002740|22</stp>
        <stp>FTV UN Equity</stp>
        <stp>LAST_PRICE</stp>
        <tr r="B202" s="2"/>
        <tr r="C202" s="2"/>
        <tr r="D202" s="2"/>
        <tr r="E202" s="2"/>
      </tp>
      <tp>
        <v>182.38</v>
        <stp/>
        <stp>BDP|2570711531446255169|22</stp>
        <stp>JBHT UW Equity</stp>
        <stp>LAST_PRICE</stp>
        <tr r="B261" s="2"/>
        <tr r="C261" s="2"/>
        <tr r="D261" s="2"/>
        <tr r="E261" s="2"/>
      </tp>
      <tp>
        <v>1.5412999999999999</v>
        <stp/>
        <stp>BDP|3043463916076945403|22</stp>
        <stp>AS51 Index</stp>
        <stp>CHG_PCT_1M_RT</stp>
        <tr r="H531" s="2"/>
      </tp>
      <tp>
        <v>11.548299999999999</v>
        <stp/>
        <stp>BDP|4863835882605841384|22</stp>
        <stp>BBY UN Equity</stp>
        <stp>CHG_PCT_YTD_RT</stp>
        <tr r="J59" s="2"/>
      </tp>
      <tp>
        <v>5.7759</v>
        <stp/>
        <stp>BDP|1336209845944927618|22</stp>
        <stp>IEX UN Equity</stp>
        <stp>CHG_PCT_YTD_RT</stp>
        <tr r="J245" s="2"/>
      </tp>
      <tp>
        <v>60.045099999999998</v>
        <stp/>
        <stp>BDP|2198838517603511538|22</stp>
        <stp>CMI UN Equity</stp>
        <stp>CHG_PCT_YTD_RT</stp>
        <tr r="J104" s="2"/>
      </tp>
      <tp>
        <v>106.75</v>
        <stp/>
        <stp>BDP|1745789722516895116|22</stp>
        <stp>VLTO UN Equity</stp>
        <stp>LAST_PRICE</stp>
        <tr r="D476" s="2"/>
        <tr r="E476" s="2"/>
        <tr r="B476" s="2"/>
        <tr r="C476" s="2"/>
      </tp>
      <tp>
        <v>-11.4506</v>
        <stp/>
        <stp>BDP|4898915196420615726|22</stp>
        <stp>CCI UN Equity</stp>
        <stp>CHG_PCT_YTD_RT</stp>
        <tr r="J86" s="2"/>
      </tp>
      <tp>
        <v>167.12</v>
        <stp/>
        <stp>BDP|8067226954710749266|22</stp>
        <stp>FANG UW Equity</stp>
        <stp>LAST_PRICE</stp>
        <tr r="C185" s="2"/>
        <tr r="D185" s="2"/>
        <tr r="E185" s="2"/>
        <tr r="B185" s="2"/>
      </tp>
      <tp>
        <v>28.761099999999999</v>
        <stp/>
        <stp>BDP|3187771007547293517|22</stp>
        <stp>PWR UN Equity</stp>
        <stp>CHG_PCT_3M_RT</stp>
        <tr r="I393" s="2"/>
      </tp>
      <tp>
        <v>-3.4220000000000002</v>
        <stp/>
        <stp>BDP|1089730269394796080|22</stp>
        <stp>TPL UN Equity</stp>
        <stp>CHG_PCT_1M_RT</stp>
        <tr r="H449" s="2"/>
      </tp>
      <tp>
        <v>-5.1980000000000004</v>
        <stp/>
        <stp>BDP|8300579081067070198|22</stp>
        <stp>IBOV Index</stp>
        <stp>CHG_PCT_YTD_RT</stp>
        <tr r="J511" s="2"/>
      </tp>
      <tp>
        <v>0.92179999999999995</v>
        <stp/>
        <stp>BDP|6871983730842077151|22</stp>
        <stp>UDR UN Equity</stp>
        <stp>CHG_PCT_1M_RT</stp>
        <tr r="H465" s="2"/>
      </tp>
      <tp>
        <v>-3.2174999999999998</v>
        <stp/>
        <stp>BDP|2364504814656647127|22</stp>
        <stp>EIX UN Equity</stp>
        <stp>REALTIME_5_DAY_CHANGE_PERCENT</stp>
        <tr r="G162" s="2"/>
      </tp>
      <tp>
        <v>-2.7867000000000002</v>
        <stp/>
        <stp>BDP|9865326220356241376|22</stp>
        <stp>HCA UN Equity</stp>
        <stp>REALTIME_5_DAY_CHANGE_PERCENT</stp>
        <tr r="G225" s="2"/>
      </tp>
      <tp>
        <v>3794.92</v>
        <stp/>
        <stp>BDP|9101296934076824951|22</stp>
        <stp>STI Index</stp>
        <stp>LAST_PRICE</stp>
        <tr r="C537" s="2"/>
        <tr r="D537" s="2"/>
        <tr r="E537" s="2"/>
        <tr r="B537" s="2"/>
      </tp>
      <tp>
        <v>-2.2296999999999998</v>
        <stp/>
        <stp>BDP|8941063852419617023|22</stp>
        <stp>DHR UN Equity</stp>
        <stp>REALTIME_5_DAY_CHANGE_PERCENT</stp>
        <tr r="G142" s="2"/>
      </tp>
      <tp>
        <v>-1.9554</v>
        <stp/>
        <stp>BDP|9600915000370694710|22</stp>
        <stp>SJM UN Equity</stp>
        <stp>CHG_PCT_3M_RT</stp>
        <tr r="I415" s="2"/>
      </tp>
      <tp>
        <v>-1.4735</v>
        <stp/>
        <stp>BDP|4730112780750608747|22</stp>
        <stp>ALB UN Equity</stp>
        <stp>REALTIME_5_DAY_CHANGE_PERCENT</stp>
        <tr r="G25" s="2"/>
      </tp>
      <tp>
        <v>2.0044</v>
        <stp/>
        <stp>BDP|9227216456157793903|22</stp>
        <stp>NEM UN Equity</stp>
        <stp>REALTIME_5_DAY_CHANGE_PERCENT</stp>
        <tr r="G339" s="2"/>
      </tp>
      <tp>
        <v>25.103999999999999</v>
        <stp/>
        <stp>BDP|3187836004732184205|22</stp>
        <stp>PNR UN Equity</stp>
        <stp>CHG_PCT_3M_RT</stp>
        <tr r="I383" s="2"/>
      </tp>
      <tp>
        <v>57.77</v>
        <stp/>
        <stp>BDP|16979844449774458913|22</stp>
        <stp>KR UN Equity</stp>
        <stp>LAST_PRICE</stp>
        <tr r="C280" s="2"/>
        <tr r="D280" s="2"/>
        <tr r="E280" s="2"/>
        <tr r="B280" s="2"/>
      </tp>
      <tp>
        <v>3.1960000000000002</v>
        <stp/>
        <stp>BDP|40751567049468546|22</stp>
        <stp>MO UN Equity</stp>
        <stp>CHG_PCT_3M_RT</stp>
        <tr r="I320" s="2"/>
      </tp>
      <tp>
        <v>2.0485000610351563</v>
        <stp/>
        <stp>BDP|1351296848605170930|22</stp>
        <stp>SWKS UW Equity</stp>
        <stp>RT_PX_CHG_PCT_1D</stp>
        <tr r="F432" s="2"/>
      </tp>
      <tp>
        <v>239.85</v>
        <stp/>
        <stp>BDP|12631954066173510334|22</stp>
        <stp>CEG UW Equity</stp>
        <stp>LAST_PRICE</stp>
        <tr r="B91" s="2"/>
        <tr r="E91" s="2"/>
        <tr r="C91" s="2"/>
        <tr r="D91" s="2"/>
      </tp>
      <tp>
        <v>-0.37640000000000001</v>
        <stp/>
        <stp>BDP|385861435015412562|22</stp>
        <stp>VICI UN Equity</stp>
        <stp>CHG_PCT_YTD_RT</stp>
        <tr r="J474" s="2"/>
      </tp>
      <tp>
        <v>88.78</v>
        <stp/>
        <stp>BDP|16330509129950673222|22</stp>
        <stp>SRE UN Equity</stp>
        <stp>LAST_PRICE</stp>
        <tr r="C424" s="2"/>
        <tr r="D424" s="2"/>
        <tr r="E424" s="2"/>
        <tr r="B424" s="2"/>
      </tp>
      <tp>
        <v>193.65</v>
        <stp/>
        <stp>BDP|13729225196402433880|22</stp>
        <stp>HSY UN Equity</stp>
        <stp>LAST_PRICE</stp>
        <tr r="D238" s="2"/>
        <tr r="E238" s="2"/>
        <tr r="B238" s="2"/>
        <tr r="C238" s="2"/>
      </tp>
      <tp>
        <v>-1.6993000507354736</v>
        <stp/>
        <stp>BDP|5082730568664548486|22</stp>
        <stp>SNPS UW Equity</stp>
        <stp>RT_PX_CHG_PCT_1D</stp>
        <tr r="F419" s="2"/>
      </tp>
      <tp>
        <v>-2.4542999999999999</v>
        <stp/>
        <stp>BDP|12829001903881201230|22</stp>
        <stp>IR UN Equity</stp>
        <stp>REALTIME_5_DAY_CHANGE_PERCENT</stp>
        <tr r="G254" s="2"/>
      </tp>
      <tp>
        <v>99.43</v>
        <stp/>
        <stp>BDP|15941093926840485287|22</stp>
        <stp>STT UN Equity</stp>
        <stp>LAST_PRICE</stp>
        <tr r="D427" s="2"/>
        <tr r="E427" s="2"/>
        <tr r="B427" s="2"/>
        <tr r="C427" s="2"/>
      </tp>
      <tp>
        <v>9.0875000000000004</v>
        <stp/>
        <stp>BDP|6764112844242426823|22</stp>
        <stp>LHX UN Equity</stp>
        <stp>CHG_PCT_YTD_RT</stp>
        <tr r="J286" s="2"/>
      </tp>
      <tp>
        <v>21.289899999999999</v>
        <stp/>
        <stp>BDP|5138772701954063677|22</stp>
        <stp>MAS UN Equity</stp>
        <stp>CHG_PCT_YTD_RT</stp>
        <tr r="J303" s="2"/>
      </tp>
      <tp>
        <v>25.855399999999999</v>
        <stp/>
        <stp>BDP|7571006982677074717|22</stp>
        <stp>NWS UW Equity</stp>
        <stp>CHG_PCT_YTD_RT</stp>
        <tr r="J352" s="2"/>
      </tp>
      <tp>
        <v>172.53</v>
        <stp/>
        <stp>BDP|2253692522377811695|22</stp>
        <stp>KEYS UN Equity</stp>
        <stp>LAST_PRICE</stp>
        <tr r="D271" s="2"/>
        <tr r="E271" s="2"/>
        <tr r="B271" s="2"/>
        <tr r="C271" s="2"/>
      </tp>
      <tp>
        <v>404.79</v>
        <stp/>
        <stp>BDP|7923292183190218456|22</stp>
        <stp>LULU UW Equity</stp>
        <stp>LAST_PRICE</stp>
        <tr r="B294" s="2"/>
        <tr r="E294" s="2"/>
        <tr r="C294" s="2"/>
        <tr r="D294" s="2"/>
      </tp>
      <tp>
        <v>26.935400000000001</v>
        <stp/>
        <stp>BDP|2852894756232607560|22</stp>
        <stp>DIS UN Equity</stp>
        <stp>CHG_PCT_YTD_RT</stp>
        <tr r="J143" s="2"/>
      </tp>
      <tp>
        <v>-28.025500000000001</v>
        <stp/>
        <stp>BDP|6784414594756012813|22</stp>
        <stp>ADM UN Equity</stp>
        <stp>CHG_PCT_YTD_RT</stp>
        <tr r="J14" s="2"/>
      </tp>
      <tp>
        <v>-3.1625999999999999</v>
        <stp/>
        <stp>BDP|9524452939374883385|22</stp>
        <stp>CVX UN Equity</stp>
        <stp>REALTIME_5_DAY_CHANGE_PERCENT</stp>
        <tr r="G129" s="2"/>
      </tp>
      <tp>
        <v>-1.9535</v>
        <stp/>
        <stp>BDP|6163799990626146389|22</stp>
        <stp>DRI UN Equity</stp>
        <stp>REALTIME_5_DAY_CHANGE_PERCENT</stp>
        <tr r="G150" s="2"/>
      </tp>
      <tp>
        <v>0.35449999999999998</v>
        <stp/>
        <stp>BDP|2573709324665645264|22</stp>
        <stp>RSG UN Equity</stp>
        <stp>CHG_PCT_1M_RT</stp>
        <tr r="H408" s="2"/>
      </tp>
      <tp>
        <v>1.7261</v>
        <stp/>
        <stp>BDP|7285482387042970978|22</stp>
        <stp>SPG UN Equity</stp>
        <stp>CHG_PCT_1M_RT</stp>
        <tr r="H422" s="2"/>
      </tp>
      <tp>
        <v>1.4924999999999999</v>
        <stp/>
        <stp>BDP|8595051122970950894|22</stp>
        <stp>IVZ UN Equity</stp>
        <stp>REALTIME_5_DAY_CHANGE_PERCENT</stp>
        <tr r="G259" s="2"/>
      </tp>
      <tp>
        <v>2.3043999999999998</v>
        <stp/>
        <stp>BDP|1716626026544011549|22</stp>
        <stp>IQV UN Equity</stp>
        <stp>REALTIME_5_DAY_CHANGE_PERCENT</stp>
        <tr r="G253" s="2"/>
      </tp>
      <tp>
        <v>-5.0670999999999999</v>
        <stp/>
        <stp>BDP|4173832951863084016|22</stp>
        <stp>BAX UN Equity</stp>
        <stp>REALTIME_5_DAY_CHANGE_PERCENT</stp>
        <tr r="G58" s="2"/>
      </tp>
      <tp>
        <v>-2.4022000000000001</v>
        <stp/>
        <stp>BDP|5803637986931591260|22</stp>
        <stp>BAC UN Equity</stp>
        <stp>REALTIME_5_DAY_CHANGE_PERCENT</stp>
        <tr r="G56" s="2"/>
      </tp>
      <tp>
        <v>7.5425000000000004</v>
        <stp/>
        <stp>BDP|8752806787939853598|22</stp>
        <stp>TJX UN Equity</stp>
        <stp>CHG_PCT_3M_RT</stp>
        <tr r="I446" s="2"/>
      </tp>
      <tp>
        <v>-3.1522999999999999</v>
        <stp/>
        <stp>BDP|6442780459998936071|22</stp>
        <stp>CCI UN Equity</stp>
        <stp>REALTIME_5_DAY_CHANGE_PERCENT</stp>
        <tr r="G86" s="2"/>
      </tp>
      <tp>
        <v>-3.9701</v>
        <stp/>
        <stp>BDP|1248976475722596981|22</stp>
        <stp>BBY UN Equity</stp>
        <stp>REALTIME_5_DAY_CHANGE_PERCENT</stp>
        <tr r="G59" s="2"/>
      </tp>
      <tp>
        <v>-1.9694</v>
        <stp/>
        <stp>BDP|9601598261139739820|22</stp>
        <stp>CNP UN Equity</stp>
        <stp>REALTIME_5_DAY_CHANGE_PERCENT</stp>
        <tr r="G107" s="2"/>
      </tp>
      <tp>
        <v>1611.43</v>
        <stp/>
        <stp>BDP|11336349870723666390|22</stp>
        <stp>FBMKLCI Index</stp>
        <stp>LAST_PRICE</stp>
        <tr r="D536" s="2"/>
        <tr r="E536" s="2"/>
        <tr r="B536" s="2"/>
        <tr r="C536" s="2"/>
      </tp>
      <tp>
        <v>85.5</v>
        <stp/>
        <stp>BDP|15554438658319069320|22</stp>
        <stp>BG UN Equity</stp>
        <stp>LAST_PRICE</stp>
        <tr r="E63" s="2"/>
        <tr r="B63" s="2"/>
        <tr r="C63" s="2"/>
        <tr r="D63" s="2"/>
      </tp>
      <tp>
        <v>85.8</v>
        <stp/>
        <stp>BDP|13794137182999606687|22</stp>
        <stp>SWK UN Equity</stp>
        <stp>LAST_PRICE</stp>
        <tr r="D431" s="2"/>
        <tr r="E431" s="2"/>
        <tr r="B431" s="2"/>
        <tr r="C431" s="2"/>
      </tp>
      <tp>
        <v>139.08000000000001</v>
        <stp/>
        <stp>BDP|11914392546844212590|22</stp>
        <stp>YUM UN Equity</stp>
        <stp>LAST_PRICE</stp>
        <tr r="B504" s="2"/>
        <tr r="C504" s="2"/>
        <tr r="D504" s="2"/>
        <tr r="E504" s="2"/>
      </tp>
      <tp>
        <v>-4.5842999999999998</v>
        <stp/>
        <stp>BDP|14589352459350174256|22</stp>
        <stp>IP UN Equity</stp>
        <stp>REALTIME_5_DAY_CHANGE_PERCENT</stp>
        <tr r="G251" s="2"/>
      </tp>
      <tp>
        <v>457.74</v>
        <stp/>
        <stp>BDP|11414642864232907120|22</stp>
        <stp>DPZ UN Equity</stp>
        <stp>LAST_PRICE</stp>
        <tr r="C149" s="2"/>
        <tr r="D149" s="2"/>
        <tr r="E149" s="2"/>
        <tr r="B149" s="2"/>
      </tp>
      <tp>
        <v>0.20649999380111694</v>
        <stp/>
        <stp>BDP|4405135956311382997|22</stp>
        <stp>VLTO UN Equity</stp>
        <stp>RT_PX_CHG_PCT_1D</stp>
        <tr r="F476" s="2"/>
      </tp>
      <tp>
        <v>39.8202</v>
        <stp/>
        <stp>BDP|7022312990967995437|22</stp>
        <stp>DLR UN Equity</stp>
        <stp>CHG_PCT_YTD_RT</stp>
        <tr r="J144" s="2"/>
      </tp>
      <tp>
        <v>35.035699999999999</v>
        <stp/>
        <stp>BDP|4875121825761426570|22</stp>
        <stp>CAT UN Equity</stp>
        <stp>CHG_PCT_YTD_RT</stp>
        <tr r="J82" s="2"/>
      </tp>
      <tp>
        <v>120.29</v>
        <stp/>
        <stp>BDP|3499693415821891067|22</stp>
        <stp>RVTY UN Equity</stp>
        <stp>LAST_PRICE</stp>
        <tr r="E410" s="2"/>
        <tr r="B410" s="2"/>
        <tr r="C410" s="2"/>
        <tr r="D410" s="2"/>
      </tp>
      <tp>
        <v>16.497299999999999</v>
        <stp/>
        <stp>BDP|9277276706490283471|22</stp>
        <stp>CMS UN Equity</stp>
        <stp>CHG_PCT_YTD_RT</stp>
        <tr r="J105" s="2"/>
      </tp>
      <tp>
        <v>-3.0564</v>
        <stp/>
        <stp>BDP|8013887559239220765|22</stp>
        <stp>MERVAL Index</stp>
        <stp>REALTIME_5_DAY_CHANGE_PERCENT</stp>
        <tr r="G514" s="2"/>
      </tp>
      <tp>
        <v>18.362300000000001</v>
        <stp/>
        <stp>BDP|9969964825143281208|22</stp>
        <stp>MAA UN Equity</stp>
        <stp>CHG_PCT_YTD_RT</stp>
        <tr r="J301" s="2"/>
      </tp>
      <tp>
        <v>56.962400000000002</v>
        <stp/>
        <stp>BDP|1994900017947377176|22</stp>
        <stp>WMB UN Equity</stp>
        <stp>CHG_PCT_YTD_RT</stp>
        <tr r="J494" s="2"/>
      </tp>
      <tp>
        <v>26.7606</v>
        <stp/>
        <stp>BDP|4218089126951509315|22</stp>
        <stp>TFC UN Equity</stp>
        <stp>CHG_PCT_YTD_RT</stp>
        <tr r="J443" s="2"/>
      </tp>
      <tp>
        <v>38.714500000000001</v>
        <stp/>
        <stp>BDP|4229651608340497631|22</stp>
        <stp>CFG UN Equity</stp>
        <stp>CHG_PCT_YTD_RT</stp>
        <tr r="J93" s="2"/>
      </tp>
      <tp>
        <v>177.1</v>
        <stp/>
        <stp>BDP|9948981710717655539|22</stp>
        <stp>GOOG UW Equity</stp>
        <stp>LAST_PRICE</stp>
        <tr r="E215" s="2"/>
        <tr r="B215" s="2"/>
        <tr r="C215" s="2"/>
        <tr r="D215" s="2"/>
      </tp>
      <tp>
        <v>74.61</v>
        <stp/>
        <stp>BDP|1834889744942653943|22</stp>
        <stp>TRMB UW Equity</stp>
        <stp>LAST_PRICE</stp>
        <tr r="D452" s="2"/>
        <tr r="E452" s="2"/>
        <tr r="B452" s="2"/>
        <tr r="C452" s="2"/>
      </tp>
      <tp>
        <v>36.947099999999999</v>
        <stp/>
        <stp>BDP|2652928358249934691|22</stp>
        <stp>CCL UN Equity</stp>
        <stp>CHG_PCT_YTD_RT</stp>
        <tr r="J87" s="2"/>
      </tp>
      <tp>
        <v>153.65</v>
        <stp/>
        <stp>BDP|2157914563237367251|22</stp>
        <stp>CINF UW Equity</stp>
        <stp>LAST_PRICE</stp>
        <tr r="C98" s="2"/>
        <tr r="B98" s="2"/>
        <tr r="D98" s="2"/>
        <tr r="E98" s="2"/>
      </tp>
      <tp>
        <v>13.487</v>
        <stp/>
        <stp>BDP|7860441074827751078|22</stp>
        <stp>TXN UW Equity</stp>
        <stp>CHG_PCT_YTD_RT</stp>
        <tr r="J460" s="2"/>
      </tp>
      <tp>
        <v>0.38619999999999999</v>
        <stp/>
        <stp>BDP|4182703793258691269|22</stp>
        <stp>HAS UW Equity</stp>
        <stp>REALTIME_5_DAY_CHANGE_PERCENT</stp>
        <tr r="G223" s="2"/>
      </tp>
      <tp>
        <v>1.6488</v>
        <stp/>
        <stp>BDP|5732345896696431469|22</stp>
        <stp>PSX UN Equity</stp>
        <stp>CHG_PCT_3M_RT</stp>
        <tr r="I391" s="2"/>
      </tp>
      <tp>
        <v>-0.6734</v>
        <stp/>
        <stp>BDP|4030473762540436250|22</stp>
        <stp>WBA UW Equity</stp>
        <stp>CHG_PCT_3M_RT</stp>
        <tr r="I487" s="2"/>
      </tp>
      <tp>
        <v>-5.8299999999999998E-2</v>
        <stp/>
        <stp>BDP|2206121950344960999|22</stp>
        <stp>BWA UN Equity</stp>
        <stp>REALTIME_5_DAY_CHANGE_PERCENT</stp>
        <tr r="G75" s="2"/>
      </tp>
      <tp>
        <v>44.657499999999999</v>
        <stp/>
        <stp>BDP|9728446040084825621|22</stp>
        <stp>WBD UW Equity</stp>
        <stp>CHG_PCT_3M_RT</stp>
        <tr r="I488" s="2"/>
      </tp>
      <tp>
        <v>-1.0186999999999999</v>
        <stp/>
        <stp>BDP|1449225053841975782|22</stp>
        <stp>AVY UN Equity</stp>
        <stp>REALTIME_5_DAY_CHANGE_PERCENT</stp>
        <tr r="G50" s="2"/>
      </tp>
      <tp>
        <v>2.7273000000000001</v>
        <stp/>
        <stp>BDP|3925160429441530107|22</stp>
        <stp>LUV UN Equity</stp>
        <stp>REALTIME_5_DAY_CHANGE_PERCENT</stp>
        <tr r="G295" s="2"/>
      </tp>
      <tp>
        <v>6.49</v>
        <stp/>
        <stp>BDP|4985936115050800058|22</stp>
        <stp>SYF UN Equity</stp>
        <stp>CHG_PCT_1M_RT</stp>
        <tr r="H433" s="2"/>
      </tp>
      <tp>
        <v>0.2722</v>
        <stp/>
        <stp>BDP|3587252313557623278|22</stp>
        <stp>PPL UN Equity</stp>
        <stp>CHG_PCT_1M_RT</stp>
        <tr r="H388" s="2"/>
      </tp>
      <tp>
        <v>4.4261999999999997</v>
        <stp/>
        <stp>BDP|6761966576694045421|22</stp>
        <stp>ZBH UN Equity</stp>
        <stp>CHG_PCT_3M_RT</stp>
        <tr r="I505" s="2"/>
      </tp>
      <tp>
        <v>-12.1839</v>
        <stp/>
        <stp>BDP|1983114096624747439|22</stp>
        <stp>TXN UW Equity</stp>
        <stp>CHG_PCT_1M_RT</stp>
        <tr r="H460" s="2"/>
      </tp>
      <tp>
        <v>22.7987</v>
        <stp/>
        <stp>BDP|4076997205946665459|22</stp>
        <stp>WMB UN Equity</stp>
        <stp>CHG_PCT_3M_RT</stp>
        <tr r="I494" s="2"/>
      </tp>
      <tp>
        <v>1.9912000000000001</v>
        <stp/>
        <stp>BDP|5961301634137832786|22</stp>
        <stp>TDG UN Equity</stp>
        <stp>CHG_PCT_3M_RT</stp>
        <tr r="I438" s="2"/>
      </tp>
      <tp>
        <v>-3.7458999999999998</v>
        <stp/>
        <stp>BDP|6718374074563254886|22</stp>
        <stp>COR UN Equity</stp>
        <stp>REALTIME_5_DAY_CHANGE_PERCENT</stp>
        <tr r="G111" s="2"/>
      </tp>
      <tp>
        <v>-11.6084</v>
        <stp/>
        <stp>BDP|6840464555369685577|22</stp>
        <stp>OMC UN Equity</stp>
        <stp>REALTIME_5_DAY_CHANGE_PERCENT</stp>
        <tr r="G358" s="2"/>
      </tp>
      <tp>
        <v>-0.28760000000000002</v>
        <stp/>
        <stp>BDP|3250688600192775042|22</stp>
        <stp>CAG UN Equity</stp>
        <stp>REALTIME_5_DAY_CHANGE_PERCENT</stp>
        <tr r="G79" s="2"/>
      </tp>
      <tp>
        <v>0.29070000000000001</v>
        <stp/>
        <stp>BDP|8873137192638885372|22</stp>
        <stp>VLO UN Equity</stp>
        <stp>CHG_PCT_3M_RT</stp>
        <tr r="I475" s="2"/>
      </tp>
      <tp>
        <v>78.010000000000005</v>
        <stp/>
        <stp>BDP|10242293208465451881|22</stp>
        <stp>LW UN Equity</stp>
        <stp>LAST_PRICE</stp>
        <tr r="D297" s="2"/>
        <tr r="B297" s="2"/>
        <tr r="C297" s="2"/>
        <tr r="E297" s="2"/>
      </tp>
      <tp>
        <v>35.51</v>
        <stp/>
        <stp>BDP|14180664524886536395|22</stp>
        <stp>DVN UN Equity</stp>
        <stp>LAST_PRICE</stp>
        <tr r="C154" s="2"/>
        <tr r="B154" s="2"/>
        <tr r="D154" s="2"/>
        <tr r="E154" s="2"/>
      </tp>
      <tp>
        <v>4.3327999999999998</v>
        <stp/>
        <stp>BDP|17525717905775624159|22</stp>
        <stp>MU UW Equity</stp>
        <stp>REALTIME_5_DAY_CHANGE_PERCENT</stp>
        <tr r="G334" s="2"/>
      </tp>
      <tp>
        <v>0.46660000085830688</v>
        <stp/>
        <stp>BDP|8013672400315644698|22</stp>
        <stp>ZBRA UW Equity</stp>
        <stp>RT_PX_CHG_PCT_1D</stp>
        <tr r="F506" s="2"/>
      </tp>
      <tp>
        <v>19.0687</v>
        <stp/>
        <stp>BDP|3427485593275164927|22</stp>
        <stp>WAT UN Equity</stp>
        <stp>CHG_PCT_YTD_RT</stp>
        <tr r="J486" s="2"/>
      </tp>
      <tp>
        <v>72.11</v>
        <stp/>
        <stp>BDP|9947471232706303267|22</stp>
        <stp>INCY UW Equity</stp>
        <stp>LAST_PRICE</stp>
        <tr r="C247" s="2"/>
        <tr r="D247" s="2"/>
        <tr r="E247" s="2"/>
        <tr r="B247" s="2"/>
      </tp>
      <tp>
        <v>58.598100000000002</v>
        <stp/>
        <stp>BDP|1707005458199462120|22</stp>
        <stp>NOW UN Equity</stp>
        <stp>CHG_PCT_YTD_RT</stp>
        <tr r="J344" s="2"/>
      </tp>
      <tp>
        <v>-4.9181999999999997</v>
        <stp/>
        <stp>BDP|2661215283236437336|22</stp>
        <stp>UNP UN Equity</stp>
        <stp>CHG_PCT_YTD_RT</stp>
        <tr r="J469" s="2"/>
      </tp>
      <tp>
        <v>27.2727</v>
        <stp/>
        <stp>BDP|9048675034428162150|22</stp>
        <stp>AFL UN Equity</stp>
        <stp>CHG_PCT_YTD_RT</stp>
        <tr r="J20" s="2"/>
      </tp>
      <tp>
        <v>59.724200000000003</v>
        <stp/>
        <stp>BDP|9847828390692606842|22</stp>
        <stp>WAB UN Equity</stp>
        <stp>CHG_PCT_YTD_RT</stp>
        <tr r="J485" s="2"/>
      </tp>
      <tp>
        <v>17.503499999999999</v>
        <stp/>
        <stp>BDP|7190003637808060650|22</stp>
        <stp>KIM UN Equity</stp>
        <stp>CHG_PCT_YTD_RT</stp>
        <tr r="J273" s="2"/>
      </tp>
      <tp>
        <v>409.71</v>
        <stp/>
        <stp>BDP|9199338571863286720|22</stp>
        <stp>ERIE UW Equity</stp>
        <stp>LAST_PRICE</stp>
        <tr r="C173" s="2"/>
        <tr r="D173" s="2"/>
        <tr r="E173" s="2"/>
        <tr r="B173" s="2"/>
      </tp>
      <tp>
        <v>1.3697999999999999</v>
        <stp/>
        <stp>BDP|6674751217343532189|22</stp>
        <stp>SYK UN Equity</stp>
        <stp>CHG_PCT_1M_RT</stp>
        <tr r="H434" s="2"/>
      </tp>
      <tp>
        <v>-10.801500000000001</v>
        <stp/>
        <stp>BDP|1802097547023945955|22</stp>
        <stp>SWK UN Equity</stp>
        <stp>CHG_PCT_3M_RT</stp>
        <tr r="I431" s="2"/>
      </tp>
      <tp>
        <v>2.1907999999999999</v>
        <stp/>
        <stp>BDP|4853687236134294831|22</stp>
        <stp>USB UN Equity</stp>
        <stp>CHG_PCT_1M_RT</stp>
        <tr r="H472" s="2"/>
      </tp>
      <tp>
        <v>2.6335000000000002</v>
        <stp/>
        <stp>BDP|2416200724836278383|22</stp>
        <stp>BXP UN Equity</stp>
        <stp>REALTIME_5_DAY_CHANGE_PERCENT</stp>
        <tr r="G77" s="2"/>
      </tp>
      <tp>
        <v>-3.0192999999999999</v>
        <stp/>
        <stp>BDP|2583198317221293026|22</stp>
        <stp>RMD UN Equity</stp>
        <stp>CHG_PCT_1M_RT</stp>
        <tr r="H403" s="2"/>
      </tp>
      <tp>
        <v>-4.8170999999999999</v>
        <stp/>
        <stp>BDP|8093151024348650767|22</stp>
        <stp>OKE UN Equity</stp>
        <stp>REALTIME_5_DAY_CHANGE_PERCENT</stp>
        <tr r="G357" s="2"/>
      </tp>
      <tp>
        <v>-2.9123999999999999</v>
        <stp/>
        <stp>BDP|5239654412310548017|22</stp>
        <stp>WMB UN Equity</stp>
        <stp>CHG_PCT_1M_RT</stp>
        <tr r="H494" s="2"/>
      </tp>
      <tp>
        <v>-2.0209000000000001</v>
        <stp/>
        <stp>BDP|2759870598243046094|22</stp>
        <stp>FMC UN Equity</stp>
        <stp>REALTIME_5_DAY_CHANGE_PERCENT</stp>
        <tr r="G196" s="2"/>
      </tp>
      <tp>
        <v>-4.3517999999999999</v>
        <stp/>
        <stp>BDP|3958115507521118880|22</stp>
        <stp>TFX UN Equity</stp>
        <stp>CHG_PCT_1M_RT</stp>
        <tr r="H444" s="2"/>
      </tp>
      <tp>
        <v>3.6836000000000002</v>
        <stp/>
        <stp>BDP|8832720271449140401|22</stp>
        <stp>WFC UN Equity</stp>
        <stp>CHG_PCT_1M_RT</stp>
        <tr r="H492" s="2"/>
      </tp>
      <tp>
        <v>-1.6714</v>
        <stp/>
        <stp>BDP|2009917457845166371|22</stp>
        <stp>GIS UN Equity</stp>
        <stp>REALTIME_5_DAY_CHANGE_PERCENT</stp>
        <tr r="G210" s="2"/>
      </tp>
      <tp>
        <v>3.4487000000000001</v>
        <stp/>
        <stp>BDP|6872579798447961409|22</stp>
        <stp>SHW UN Equity</stp>
        <stp>CHG_PCT_3M_RT</stp>
        <tr r="I414" s="2"/>
      </tp>
      <tp>
        <v>-5.2946999999999997</v>
        <stp/>
        <stp>BDP|2317906002833521925|22</stp>
        <stp>MET UN Equity</stp>
        <stp>REALTIME_5_DAY_CHANGE_PERCENT</stp>
        <tr r="G310" s="2"/>
      </tp>
      <tp>
        <v>-4.0183999999999997</v>
        <stp/>
        <stp>BDP|3609360594010140090|22</stp>
        <stp>EMN UN Equity</stp>
        <stp>REALTIME_5_DAY_CHANGE_PERCENT</stp>
        <tr r="G165" s="2"/>
      </tp>
      <tp>
        <v>-0.5202</v>
        <stp/>
        <stp>BDP|5395604287665898820|22</stp>
        <stp>ACN UN Equity</stp>
        <stp>REALTIME_5_DAY_CHANGE_PERCENT</stp>
        <tr r="G11" s="2"/>
      </tp>
      <tp>
        <v>10.262700000000001</v>
        <stp/>
        <stp>BDP|10694969782872333179|22</stp>
        <stp>SX5E Index</stp>
        <stp>CHG_PCT_YTD_RT</stp>
        <tr r="J517" s="2"/>
      </tp>
      <tp>
        <v>-3.0154999999999998</v>
        <stp/>
        <stp>BDP|13087696736951825773|22</stp>
        <stp>RF UN Equity</stp>
        <stp>REALTIME_5_DAY_CHANGE_PERCENT</stp>
        <tr r="G400" s="2"/>
      </tp>
      <tp>
        <v>-6.1202998161315918</v>
        <stp/>
        <stp>BDP|5915028652590109072|22</stp>
        <stp>TMUS UW Equity</stp>
        <stp>RT_PX_CHG_PCT_1D</stp>
        <tr r="F448" s="2"/>
      </tp>
      <tp>
        <v>36.450000000000003</v>
        <stp/>
        <stp>BDP|12003969606080658783|22</stp>
        <stp>HPQ UN Equity</stp>
        <stp>LAST_PRICE</stp>
        <tr r="B234" s="2"/>
        <tr r="D234" s="2"/>
        <tr r="E234" s="2"/>
        <tr r="C234" s="2"/>
      </tp>
      <tp>
        <v>79.7</v>
        <stp/>
        <stp>BDP|4331885369903320152|22</stp>
        <stp>NDAQ UW Equity</stp>
        <stp>LAST_PRICE</stp>
        <tr r="C336" s="2"/>
        <tr r="D336" s="2"/>
        <tr r="E336" s="2"/>
        <tr r="B336" s="2"/>
      </tp>
      <tp>
        <v>65.14</v>
        <stp/>
        <stp>BDP|3535493640315801809|22</stp>
        <stp>EBAY UW Equity</stp>
        <stp>LAST_PRICE</stp>
        <tr r="C157" s="2"/>
        <tr r="D157" s="2"/>
        <tr r="E157" s="2"/>
        <tr r="B157" s="2"/>
      </tp>
      <tp>
        <v>174.8</v>
        <stp/>
        <stp>BDP|5325824511042887754|22</stp>
        <stp>JKHY UW Equity</stp>
        <stp>LAST_PRICE</stp>
        <tr r="C264" s="2"/>
        <tr r="D264" s="2"/>
        <tr r="E264" s="2"/>
        <tr r="B264" s="2"/>
      </tp>
      <tp>
        <v>34.2074</v>
        <stp/>
        <stp>BDP|4958125936976752651|22</stp>
        <stp>TJX UN Equity</stp>
        <stp>CHG_PCT_YTD_RT</stp>
        <tr r="J446" s="2"/>
      </tp>
      <tp>
        <v>-29.3506</v>
        <stp/>
        <stp>BDP|7083328859529783192|22</stp>
        <stp>AES UN Equity</stp>
        <stp>CHG_PCT_YTD_RT</stp>
        <tr r="J19" s="2"/>
      </tp>
      <tp>
        <v>90.59</v>
        <stp/>
        <stp>BDP|5576830782800829057|22</stp>
        <stp>GILD UW Equity</stp>
        <stp>LAST_PRICE</stp>
        <tr r="C209" s="2"/>
        <tr r="D209" s="2"/>
        <tr r="E209" s="2"/>
        <tr r="B209" s="2"/>
      </tp>
      <tp>
        <v>4.2896999999999998</v>
        <stp/>
        <stp>BDP|6596154334721631854|22</stp>
        <stp>EXC UW Equity</stp>
        <stp>CHG_PCT_YTD_RT</stp>
        <tr r="J180" s="2"/>
      </tp>
      <tp>
        <v>-1.891</v>
        <stp/>
        <stp>BDP|1420677862451218998|22</stp>
        <stp>BSX UN Equity</stp>
        <stp>REALTIME_5_DAY_CHANGE_PERCENT</stp>
        <tr r="G74" s="2"/>
      </tp>
      <tp>
        <v>-5.7770000000000001</v>
        <stp/>
        <stp>BDP|3597249244076129623|22</stp>
        <stp>LYB UN Equity</stp>
        <stp>REALTIME_5_DAY_CHANGE_PERCENT</stp>
        <tr r="G298" s="2"/>
      </tp>
      <tp>
        <v>-2.6878000000000002</v>
        <stp/>
        <stp>BDP|5219601515086722530|22</stp>
        <stp>AEP UW Equity</stp>
        <stp>REALTIME_5_DAY_CHANGE_PERCENT</stp>
        <tr r="G18" s="2"/>
      </tp>
      <tp>
        <v>-0.59860000000000002</v>
        <stp/>
        <stp>BDP|5316874270989137297|22</stp>
        <stp>WST UN Equity</stp>
        <stp>CHG_PCT_1M_RT</stp>
        <tr r="H497" s="2"/>
      </tp>
      <tp>
        <v>4.2366999999999999</v>
        <stp/>
        <stp>BDP|2219593702067787443|22</stp>
        <stp>STZ UN Equity</stp>
        <stp>CHG_PCT_1M_RT</stp>
        <tr r="H429" s="2"/>
      </tp>
      <tp>
        <v>-3.7221000000000002</v>
        <stp/>
        <stp>BDP|4321085103226399797|22</stp>
        <stp>LIN UW Equity</stp>
        <stp>REALTIME_5_DAY_CHANGE_PERCENT</stp>
        <tr r="G287" s="2"/>
      </tp>
      <tp>
        <v>-3.7359</v>
        <stp/>
        <stp>BDP|6185481265378518582|22</stp>
        <stp>TER UW Equity</stp>
        <stp>CHG_PCT_3M_RT</stp>
        <tr r="I442" s="2"/>
      </tp>
      <tp>
        <v>-1.5656000000000001</v>
        <stp/>
        <stp>BDP|4552490737397586248|22</stp>
        <stp>VLO UN Equity</stp>
        <stp>CHG_PCT_1M_RT</stp>
        <tr r="H475" s="2"/>
      </tp>
      <tp>
        <v>-1.0181</v>
        <stp/>
        <stp>BDP|8477520604629245529|22</stp>
        <stp>AOS UN Equity</stp>
        <stp>REALTIME_5_DAY_CHANGE_PERCENT</stp>
        <tr r="G41" s="2"/>
      </tp>
      <tp>
        <v>-2.3923999999999999</v>
        <stp/>
        <stp>BDP|5553708896238349809|22</stp>
        <stp>FDS UN Equity</stp>
        <stp>REALTIME_5_DAY_CHANGE_PERCENT</stp>
        <tr r="G188" s="2"/>
      </tp>
      <tp>
        <v>-2.8994</v>
        <stp/>
        <stp>BDP|6127438038314900712|22</stp>
        <stp>AME UN Equity</stp>
        <stp>REALTIME_5_DAY_CHANGE_PERCENT</stp>
        <tr r="G32" s="2"/>
      </tp>
      <tp>
        <v>1.1477999999999999</v>
        <stp/>
        <stp>BDP|6959394595620270307|22</stp>
        <stp>IBM UN Equity</stp>
        <stp>REALTIME_5_DAY_CHANGE_PERCENT</stp>
        <tr r="G242" s="2"/>
      </tp>
      <tp>
        <v>-1.2838000000000001</v>
        <stp/>
        <stp>BDP|4303130014464100850|22</stp>
        <stp>BEN UN Equity</stp>
        <stp>REALTIME_5_DAY_CHANGE_PERCENT</stp>
        <tr r="G61" s="2"/>
      </tp>
      <tp>
        <v>2.3811</v>
        <stp/>
        <stp>BDP|8167463247141083821|22</stp>
        <stp>EFX UN Equity</stp>
        <stp>REALTIME_5_DAY_CHANGE_PERCENT</stp>
        <tr r="G160" s="2"/>
      </tp>
      <tp>
        <v>52.71</v>
        <stp/>
        <stp>BDP|14111207692335806609|22</stp>
        <stp>GM UN Equity</stp>
        <stp>LAST_PRICE</stp>
        <tr r="C213" s="2"/>
        <tr r="D213" s="2"/>
        <tr r="E213" s="2"/>
        <tr r="B213" s="2"/>
      </tp>
      <tp>
        <v>72.42</v>
        <stp/>
        <stp>BDP|14984840796748911083|22</stp>
        <stp>CE UN Equity</stp>
        <stp>LAST_PRICE</stp>
        <tr r="C90" s="2"/>
        <tr r="B90" s="2"/>
        <tr r="D90" s="2"/>
        <tr r="E90" s="2"/>
      </tp>
      <tp>
        <v>105.68</v>
        <stp/>
        <stp>BDP|17107199856754349865|22</stp>
        <stp>BRO UN Equity</stp>
        <stp>LAST_PRICE</stp>
        <tr r="D73" s="2"/>
        <tr r="C73" s="2"/>
        <tr r="E73" s="2"/>
        <tr r="B73" s="2"/>
      </tp>
      <tp>
        <v>33.18</v>
        <stp/>
        <stp>BDP|15638829460951935599|22</stp>
        <stp>HRL UN Equity</stp>
        <stp>LAST_PRICE</stp>
        <tr r="D235" s="2"/>
        <tr r="E235" s="2"/>
        <tr r="C235" s="2"/>
        <tr r="B235" s="2"/>
      </tp>
      <tp>
        <v>-4.2332999999999998</v>
        <stp/>
        <stp>BDP|15857810909108474494|22</stp>
        <stp>GM UN Equity</stp>
        <stp>REALTIME_5_DAY_CHANGE_PERCENT</stp>
        <tr r="G213" s="2"/>
      </tp>
      <tp>
        <v>-5.2526000000000002</v>
        <stp/>
        <stp>BDP|16149534261018835434|22</stp>
        <stp>GL UN Equity</stp>
        <stp>REALTIME_5_DAY_CHANGE_PERCENT</stp>
        <tr r="G211" s="2"/>
      </tp>
      <tp>
        <v>17.104900000000001</v>
        <stp/>
        <stp>BDP|6030440266631113755|22</stp>
        <stp>COR UN Equity</stp>
        <stp>CHG_PCT_YTD_RT</stp>
        <tr r="J111" s="2"/>
      </tp>
      <tp>
        <v>22.81</v>
        <stp/>
        <stp>BDP|1272850329403597634|22</stp>
        <stp>KVUE UN Equity</stp>
        <stp>LAST_PRICE</stp>
        <tr r="B281" s="2"/>
        <tr r="C281" s="2"/>
        <tr r="D281" s="2"/>
        <tr r="E281" s="2"/>
      </tp>
      <tp>
        <v>23.75</v>
        <stp/>
        <stp>BDP|9258927358178723865|22</stp>
        <stp>AMTM UN Equity</stp>
        <stp>LAST_PRICE</stp>
        <tr r="D36" s="2"/>
        <tr r="E36" s="2"/>
        <tr r="B36" s="2"/>
        <tr r="C36" s="2"/>
      </tp>
      <tp>
        <v>-7.7240000000000002</v>
        <stp/>
        <stp>BDP|6127574255134107255|22</stp>
        <stp>FMC UN Equity</stp>
        <stp>CHG_PCT_YTD_RT</stp>
        <tr r="J196" s="2"/>
      </tp>
      <tp>
        <v>9.5960000000000001</v>
        <stp/>
        <stp>BDP|7819756782438996228|22</stp>
        <stp>DOC UN Equity</stp>
        <stp>CHG_PCT_YTD_RT</stp>
        <tr r="J146" s="2"/>
      </tp>
      <tp>
        <v>53.628100000000003</v>
        <stp/>
        <stp>BDP|6864729675402642469|22</stp>
        <stp>KMI UN Equity</stp>
        <stp>CHG_PCT_YTD_RT</stp>
        <tr r="J277" s="2"/>
      </tp>
      <tp>
        <v>-3.3717000000000001</v>
        <stp/>
        <stp>BDP|9467742704383251804|22</stp>
        <stp>OXY UN Equity</stp>
        <stp>REALTIME_5_DAY_CHANGE_PERCENT</stp>
        <tr r="G363" s="2"/>
      </tp>
      <tp>
        <v>-2.6539000000000001</v>
        <stp/>
        <stp>BDP|8967136368162750468|22</stp>
        <stp>DAY UN Equity</stp>
        <stp>REALTIME_5_DAY_CHANGE_PERCENT</stp>
        <tr r="G133" s="2"/>
      </tp>
      <tp>
        <v>-2.5831</v>
        <stp/>
        <stp>BDP|7151609707865313302|22</stp>
        <stp>EOG UN Equity</stp>
        <stp>REALTIME_5_DAY_CHANGE_PERCENT</stp>
        <tr r="G168" s="2"/>
      </tp>
      <tp>
        <v>-3.0689000000000002</v>
        <stp/>
        <stp>BDP|8771349975646562661|22</stp>
        <stp>HES UN Equity</stp>
        <stp>REALTIME_5_DAY_CHANGE_PERCENT</stp>
        <tr r="G227" s="2"/>
      </tp>
      <tp>
        <v>-1.8333999999999999</v>
        <stp/>
        <stp>BDP|3096951925145093870|22</stp>
        <stp>NKE UN Equity</stp>
        <stp>REALTIME_5_DAY_CHANGE_PERCENT</stp>
        <tr r="G342" s="2"/>
      </tp>
      <tp>
        <v>-4.7363</v>
        <stp/>
        <stp>BDP|8430015440197170819|22</stp>
        <stp>KMB UN Equity</stp>
        <stp>REALTIME_5_DAY_CHANGE_PERCENT</stp>
        <tr r="G276" s="2"/>
      </tp>
      <tp>
        <v>-2.1764999999999999</v>
        <stp/>
        <stp>BDP|9676608583342545367|22</stp>
        <stp>DIS UN Equity</stp>
        <stp>REALTIME_5_DAY_CHANGE_PERCENT</stp>
        <tr r="G143" s="2"/>
      </tp>
      <tp>
        <v>-4.8094000000000001</v>
        <stp/>
        <stp>BDP|5244571307033981438|22</stp>
        <stp>CHD UN Equity</stp>
        <stp>REALTIME_5_DAY_CHANGE_PERCENT</stp>
        <tr r="G94" s="2"/>
      </tp>
      <tp>
        <v>-2.2621000000000002</v>
        <stp/>
        <stp>BDP|11604700043621075705|22</stp>
        <stp>RL UN Equity</stp>
        <stp>REALTIME_5_DAY_CHANGE_PERCENT</stp>
        <tr r="G402" s="2"/>
      </tp>
      <tp>
        <v>30.48</v>
        <stp/>
        <stp>BDP|14160966688010913731|22</stp>
        <stp>GEN UW Equity</stp>
        <stp>LAST_PRICE</stp>
        <tr r="E207" s="2"/>
        <tr r="B207" s="2"/>
        <tr r="C207" s="2"/>
        <tr r="D207" s="2"/>
      </tp>
      <tp>
        <v>69.11</v>
        <stp/>
        <stp>BDP|14744237453829416878|22</stp>
        <stp>XEL UW Equity</stp>
        <stp>LAST_PRICE</stp>
        <tr r="E501" s="2"/>
        <tr r="B501" s="2"/>
        <tr r="C501" s="2"/>
        <tr r="D501" s="2"/>
      </tp>
      <tp>
        <v>48.72</v>
        <stp/>
        <stp>BDP|16641052047237950361|22</stp>
        <stp>OXY UN Equity</stp>
        <stp>LAST_PRICE</stp>
        <tr r="D363" s="2"/>
        <tr r="E363" s="2"/>
        <tr r="B363" s="2"/>
        <tr r="C363" s="2"/>
      </tp>
      <tp>
        <v>1.3068000078201294</v>
        <stp/>
        <stp>BDP|8980252165261451457|22</stp>
        <stp>SBAC UW Equity</stp>
        <stp>RT_PX_CHG_PCT_1D</stp>
        <tr r="F411" s="2"/>
      </tp>
      <tp>
        <v>297.56</v>
        <stp/>
        <stp>BDP|14110582304954544622|22</stp>
        <stp>ADP UW Equity</stp>
        <stp>LAST_PRICE</stp>
        <tr r="D15" s="2"/>
        <tr r="E15" s="2"/>
        <tr r="C15" s="2"/>
        <tr r="B15" s="2"/>
      </tp>
      <tp>
        <v>548.41999999999996</v>
        <stp/>
        <stp>BDP|11948589281063857714|22</stp>
        <stp>ROP UW Equity</stp>
        <stp>LAST_PRICE</stp>
        <tr r="B406" s="2"/>
        <tr r="E406" s="2"/>
        <tr r="C406" s="2"/>
        <tr r="D406" s="2"/>
      </tp>
      <tp>
        <v>208.3</v>
        <stp/>
        <stp>BDP|6895364148802898783|22</stp>
        <stp>CTAS UW Equity</stp>
        <stp>LAST_PRICE</stp>
        <tr r="B123" s="2"/>
        <tr r="E123" s="2"/>
        <tr r="C123" s="2"/>
        <tr r="D123" s="2"/>
      </tp>
      <tp>
        <v>29.444400000000002</v>
        <stp/>
        <stp>BDP|6672943684236262258|22</stp>
        <stp>WTW UW Equity</stp>
        <stp>CHG_PCT_YTD_RT</stp>
        <tr r="J498" s="2"/>
      </tp>
      <tp>
        <v>90.856399999999994</v>
        <stp/>
        <stp>BDP|5775440155088668168|22</stp>
        <stp>RCL UN Equity</stp>
        <stp>CHG_PCT_YTD_RT</stp>
        <tr r="J397" s="2"/>
      </tp>
      <tp>
        <v>49.700899999999997</v>
        <stp/>
        <stp>BDP|8101441019050588832|22</stp>
        <stp>OKE UN Equity</stp>
        <stp>CHG_PCT_YTD_RT</stp>
        <tr r="J357" s="2"/>
      </tp>
      <tp>
        <v>2.3561000000000001</v>
        <stp/>
        <stp>BDP|4645384479374933520|22</stp>
        <stp>NOC UN Equity</stp>
        <stp>CHG_PCT_YTD_RT</stp>
        <tr r="J343" s="2"/>
      </tp>
      <tp>
        <v>-0.37040000000000001</v>
        <stp/>
        <stp>BDP|17207679339376733709|22</stp>
        <stp>O UN Equity</stp>
        <stp>REALTIME_5_DAY_CHANGE_PERCENT</stp>
        <tr r="G355" s="2"/>
      </tp>
      <tp>
        <v>-1.3463000000000001</v>
        <stp/>
        <stp>BDP|16985145208992719298|22</stp>
        <stp>L UN Equity</stp>
        <stp>REALTIME_5_DAY_CHANGE_PERCENT</stp>
        <tr r="G282" s="2"/>
      </tp>
      <tp>
        <v>389.79</v>
        <stp/>
        <stp>BDP|6821227990452171202|22</stp>
        <stp>TSLA UW Equity</stp>
        <stp>LAST_PRICE</stp>
        <tr r="D456" s="2"/>
        <tr r="E456" s="2"/>
        <tr r="B456" s="2"/>
        <tr r="C456" s="2"/>
      </tp>
      <tp>
        <v>97.878600000000006</v>
        <stp/>
        <stp>BDP|8175358308891517175|22</stp>
        <stp>VST UN Equity</stp>
        <stp>CHG_PCT_3M_RT</stp>
        <tr r="I481" s="2"/>
      </tp>
      <tp>
        <v>6.2112999999999996</v>
        <stp/>
        <stp>BDP|2800899765729133936|22</stp>
        <stp>CRM UN Equity</stp>
        <stp>REALTIME_5_DAY_CHANGE_PERCENT</stp>
        <tr r="G118" s="2"/>
      </tp>
      <tp>
        <v>6.6649000000000003</v>
        <stp/>
        <stp>BDP|9202064938241176680|22</stp>
        <stp>WST UN Equity</stp>
        <stp>CHG_PCT_3M_RT</stp>
        <tr r="I497" s="2"/>
      </tp>
      <tp>
        <v>-2.8142999999999998</v>
        <stp/>
        <stp>BDP|4896321562888943624|22</stp>
        <stp>MPC UN Equity</stp>
        <stp>REALTIME_5_DAY_CHANGE_PERCENT</stp>
        <tr r="G323" s="2"/>
      </tp>
      <tp>
        <v>4.0042</v>
        <stp/>
        <stp>BDP|3518521921637154572|22</stp>
        <stp>XYL UN Equity</stp>
        <stp>CHG_PCT_1M_RT</stp>
        <tr r="H503" s="2"/>
      </tp>
      <tp>
        <v>6.6203000000000003</v>
        <stp/>
        <stp>BDP|6701175921310617432|22</stp>
        <stp>PRU UN Equity</stp>
        <stp>CHG_PCT_3M_RT</stp>
        <tr r="I389" s="2"/>
      </tp>
      <tp>
        <v>0.34799999999999998</v>
        <stp/>
        <stp>BDP|7925537446260479321|22</stp>
        <stp>KHC UW Equity</stp>
        <stp>REALTIME_5_DAY_CHANGE_PERCENT</stp>
        <tr r="G272" s="2"/>
      </tp>
      <tp>
        <v>-3.7179000000000002</v>
        <stp/>
        <stp>BDP|7551729291568244198|22</stp>
        <stp>DOW UN Equity</stp>
        <stp>REALTIME_5_DAY_CHANGE_PERCENT</stp>
        <tr r="G148" s="2"/>
      </tp>
      <tp>
        <v>0.47260000000000002</v>
        <stp/>
        <stp>BDP|6309184012466476132|22</stp>
        <stp>LLY UN Equity</stp>
        <stp>REALTIME_5_DAY_CHANGE_PERCENT</stp>
        <tr r="G289" s="2"/>
      </tp>
      <tp>
        <v>0.29880000000000001</v>
        <stp/>
        <stp>BDP|7376798413044849480|22</stp>
        <stp>JCI UN Equity</stp>
        <stp>REALTIME_5_DAY_CHANGE_PERCENT</stp>
        <tr r="G263" s="2"/>
      </tp>
      <tp>
        <v>-0.35399999999999998</v>
        <stp/>
        <stp>BDP|6899601674641415823|22</stp>
        <stp>PLD UN Equity</stp>
        <stp>CHG_PCT_1M_RT</stp>
        <tr r="H379" s="2"/>
      </tp>
      <tp>
        <v>-3.1219000000000001</v>
        <stp/>
        <stp>BDP|9147718419696632430|22</stp>
        <stp>MLM UN Equity</stp>
        <stp>REALTIME_5_DAY_CHANGE_PERCENT</stp>
        <tr r="G316" s="2"/>
      </tp>
      <tp>
        <v>157.04</v>
        <stp/>
        <stp>BDP|17591203271665450495|22</stp>
        <stp>BA UN Equity</stp>
        <stp>LAST_PRICE</stp>
        <tr r="E55" s="2"/>
        <tr r="B55" s="2"/>
        <tr r="C55" s="2"/>
        <tr r="D55" s="2"/>
      </tp>
      <tp>
        <v>80.8</v>
        <stp/>
        <stp>BDP|15853391098346944426|22</stp>
        <stp>DG UN Equity</stp>
        <stp>LAST_PRICE</stp>
        <tr r="B139" s="2"/>
        <tr r="E139" s="2"/>
        <tr r="C139" s="2"/>
        <tr r="D139" s="2"/>
      </tp>
      <tp>
        <v>62.64</v>
        <stp/>
        <stp>BDP|12906104485282131503|22</stp>
        <stp>TSN UN Equity</stp>
        <stp>LAST_PRICE</stp>
        <tr r="C457" s="2"/>
        <tr r="D457" s="2"/>
        <tr r="E457" s="2"/>
        <tr r="B457" s="2"/>
      </tp>
      <tp>
        <v>1.7268999814987183</v>
        <stp/>
        <stp>BDP|9775990375741377114|22</stp>
        <stp>QRVO UW Equity</stp>
        <stp>RT_PX_CHG_PCT_1D</stp>
        <tr r="F396" s="2"/>
      </tp>
      <tp>
        <v>3.8694000000000002</v>
        <stp/>
        <stp>BDP|10430205718222782319|22</stp>
        <stp>DG UN Equity</stp>
        <stp>REALTIME_5_DAY_CHANGE_PERCENT</stp>
        <tr r="G139" s="2"/>
      </tp>
      <tp>
        <v>1.9816000461578369</v>
        <stp/>
        <stp>BDP|1130156695620060499|22</stp>
        <stp>POOL UW Equity</stp>
        <stp>RT_PX_CHG_PCT_1D</stp>
        <tr r="F386" s="2"/>
      </tp>
      <tp>
        <v>-2.3729000091552734</v>
        <stp/>
        <stp>BDP|1177009053309326120|22</stp>
        <stp>ULTA UW Equity</stp>
        <stp>RT_PX_CHG_PCT_1D</stp>
        <tr r="F467" s="2"/>
      </tp>
      <tp>
        <v>4.3276000000000003</v>
        <stp/>
        <stp>BDP|9241830282828163188|22</stp>
        <stp>SX5E Index</stp>
        <stp>CHG_PCT_3M_RT</stp>
        <tr r="I517" s="2"/>
      </tp>
      <tp>
        <v>0.6401</v>
        <stp/>
        <stp>BDP|8718517125092520585|22</stp>
        <stp>MEXBOL Index</stp>
        <stp>CHG_PCT_1M_RT</stp>
        <tr r="H510" s="2"/>
      </tp>
      <tp>
        <v>20.695699999999999</v>
        <stp/>
        <stp>BDP|3178224893757069864|22</stp>
        <stp>SHW UN Equity</stp>
        <stp>CHG_PCT_YTD_RT</stp>
        <tr r="J414" s="2"/>
      </tp>
      <tp>
        <v>203.93</v>
        <stp/>
        <stp>BDP|8321658647764299836|22</stp>
        <stp>ODFL UW Equity</stp>
        <stp>LAST_PRICE</stp>
        <tr r="C356" s="2"/>
        <tr r="D356" s="2"/>
        <tr r="E356" s="2"/>
        <tr r="B356" s="2"/>
      </tp>
      <tp>
        <v>25.737300000000001</v>
        <stp/>
        <stp>BDP|8671408227217357548|22</stp>
        <stp>ECL UN Equity</stp>
        <stp>CHG_PCT_YTD_RT</stp>
        <tr r="J158" s="2"/>
      </tp>
      <tp>
        <v>16.881</v>
        <stp/>
        <stp>BDP|6085378349073262636|22</stp>
        <stp>MKC UN Equity</stp>
        <stp>CHG_PCT_YTD_RT</stp>
        <tr r="J314" s="2"/>
      </tp>
      <tp>
        <v>28.8963</v>
        <stp/>
        <stp>BDP|6913601035938424811|22</stp>
        <stp>BLK UN Equity</stp>
        <stp>CHG_PCT_YTD_RT</stp>
        <tr r="J69" s="2"/>
      </tp>
      <tp>
        <v>0.24840000000000001</v>
        <stp/>
        <stp>BDP|4798581947079431525|22</stp>
        <stp>CRL UN Equity</stp>
        <stp>REALTIME_5_DAY_CHANGE_PERCENT</stp>
        <tr r="G117" s="2"/>
      </tp>
      <tp>
        <v>6052.85</v>
        <stp/>
        <stp>BDP|2596990609892593565|22</stp>
        <stp>SPX Index</stp>
        <stp>LAST_PRICE</stp>
        <tr r="B4" s="2"/>
        <tr r="C4" s="2"/>
        <tr r="D4" s="2"/>
        <tr r="E4" s="2"/>
      </tp>
      <tp>
        <v>-3.4159000000000002</v>
        <stp/>
        <stp>BDP|4429524094872371217|22</stp>
        <stp>PEP UW Equity</stp>
        <stp>CHG_PCT_1M_RT</stp>
        <tr r="H371" s="2"/>
      </tp>
      <tp>
        <v>2.3536000000000001</v>
        <stp/>
        <stp>BDP|3738816969909659532|22</stp>
        <stp>IBEX Index</stp>
        <stp>REALTIME_5_DAY_CHANGE_PERCENT</stp>
        <tr r="G521" s="2"/>
      </tp>
      <tp>
        <v>3.7277999999999998</v>
        <stp/>
        <stp>BDP|4173083439980660496|22</stp>
        <stp>PNR UN Equity</stp>
        <stp>CHG_PCT_1M_RT</stp>
        <tr r="H383" s="2"/>
      </tp>
      <tp>
        <v>-5.2312000000000003</v>
        <stp/>
        <stp>BDP|8576219572221824472|22</stp>
        <stp>AJG UN Equity</stp>
        <stp>REALTIME_5_DAY_CHANGE_PERCENT</stp>
        <tr r="G23" s="2"/>
      </tp>
      <tp>
        <v>-2.8075999999999999</v>
        <stp/>
        <stp>BDP|6137782198343735214|22</stp>
        <stp>COP UN Equity</stp>
        <stp>REALTIME_5_DAY_CHANGE_PERCENT</stp>
        <tr r="G110" s="2"/>
      </tp>
      <tp>
        <v>-1.86</v>
        <stp/>
        <stp>BDP|9558725284122158770|22</stp>
        <stp>DFS UN Equity</stp>
        <stp>REALTIME_5_DAY_CHANGE_PERCENT</stp>
        <tr r="G138" s="2"/>
      </tp>
      <tp>
        <v>8.0023</v>
        <stp/>
        <stp>BDP|11225241217853001645|22</stp>
        <stp>UKX Index</stp>
        <stp>CHG_PCT_YTD_RT</stp>
        <tr r="J518" s="2"/>
      </tp>
      <tp>
        <v>621.77</v>
        <stp/>
        <stp>BDP|13400468735395687074|22</stp>
        <stp>TYL UN Equity</stp>
        <stp>LAST_PRICE</stp>
        <tr r="B462" s="2"/>
        <tr r="C462" s="2"/>
        <tr r="D462" s="2"/>
        <tr r="E462" s="2"/>
      </tp>
      <tp>
        <v>-4.1784000396728516</v>
        <stp/>
        <stp>BDP|6405829664764926238|22</stp>
        <stp>PANW UW Equity</stp>
        <stp>RT_PX_CHG_PCT_1D</stp>
        <tr r="F364" s="2"/>
      </tp>
      <tp>
        <v>-5.3714000000000004</v>
        <stp/>
        <stp>BDP|17242615763438564091|22</stp>
        <stp>ES UN Equity</stp>
        <stp>REALTIME_5_DAY_CHANGE_PERCENT</stp>
        <tr r="G174" s="2"/>
      </tp>
      <tp>
        <v>296.72000000000003</v>
        <stp/>
        <stp>BDP|10391927261286394977|22</stp>
        <stp>AXP UN Equity</stp>
        <stp>LAST_PRICE</stp>
        <tr r="C53" s="2"/>
        <tr r="D53" s="2"/>
        <tr r="E53" s="2"/>
        <tr r="B53" s="2"/>
      </tp>
      <tp>
        <v>-1.8697999999999999</v>
        <stp/>
        <stp>BDP|16727808012945570236|22</stp>
        <stp>MS UN Equity</stp>
        <stp>REALTIME_5_DAY_CHANGE_PERCENT</stp>
        <tr r="G327" s="2"/>
      </tp>
      <tp>
        <v>1.2853000164031982</v>
        <stp/>
        <stp>BDP|5785126467681578466|22</stp>
        <stp>REGN UW Equity</stp>
        <stp>RT_PX_CHG_PCT_1D</stp>
        <tr r="F399" s="2"/>
      </tp>
      <tp>
        <v>-5.0824999809265137</v>
        <stp/>
        <stp>BDP|3386379350268260126|22</stp>
        <stp>PLTR UQ Equity</stp>
        <stp>RT_PX_CHG_PCT_1D</stp>
        <tr r="F380" s="2"/>
      </tp>
      <tp>
        <v>-4.0296000000000003</v>
        <stp/>
        <stp>BDP|16615652299098796808|22</stp>
        <stp>BG UN Equity</stp>
        <stp>REALTIME_5_DAY_CHANGE_PERCENT</stp>
        <tr r="G63" s="2"/>
      </tp>
      <tp>
        <v>-8.5387000000000004</v>
        <stp/>
        <stp>BDP|3196889475322959273|22</stp>
        <stp>BDX UN Equity</stp>
        <stp>CHG_PCT_YTD_RT</stp>
        <tr r="J60" s="2"/>
      </tp>
      <tp>
        <v>83.886499999999998</v>
        <stp/>
        <stp>BDP|3932406046686863658|22</stp>
        <stp>KKR UN Equity</stp>
        <stp>CHG_PCT_YTD_RT</stp>
        <tr r="J274" s="2"/>
      </tp>
      <tp>
        <v>17.3995</v>
        <stp/>
        <stp>BDP|7835618882485542838|22</stp>
        <stp>CLX UN Equity</stp>
        <stp>CHG_PCT_YTD_RT</stp>
        <tr r="J100" s="2"/>
      </tp>
      <tp>
        <v>138.25</v>
        <stp/>
        <stp>BDP|8398212808455480739|22</stp>
        <stp>STLD UW Equity</stp>
        <stp>LAST_PRICE</stp>
        <tr r="E426" s="2"/>
        <tr r="B426" s="2"/>
        <tr r="C426" s="2"/>
        <tr r="D426" s="2"/>
      </tp>
      <tp>
        <v>-2.6596000000000002</v>
        <stp/>
        <stp>BDP|17925326535249783045|22</stp>
        <stp>J UN Equity</stp>
        <stp>REALTIME_5_DAY_CHANGE_PERCENT</stp>
        <tr r="G260" s="2"/>
      </tp>
      <tp>
        <v>50.811300000000003</v>
        <stp/>
        <stp>BDP|6805855057719758952|22</stp>
        <stp>TPR UN Equity</stp>
        <stp>CHG_PCT_3M_RT</stp>
        <tr r="I450" s="2"/>
      </tp>
      <tp>
        <v>3.2574999999999998</v>
        <stp/>
        <stp>BDP|7359793733025684636|22</stp>
        <stp>KDP UW Equity</stp>
        <stp>REALTIME_5_DAY_CHANGE_PERCENT</stp>
        <tr r="G269" s="2"/>
      </tp>
      <tp>
        <v>5.5655000000000001</v>
        <stp/>
        <stp>BDP|4088459098241070326|22</stp>
        <stp>TYL UN Equity</stp>
        <stp>CHG_PCT_3M_RT</stp>
        <tr r="I462" s="2"/>
      </tp>
      <tp>
        <v>25.542300000000001</v>
        <stp/>
        <stp>BDP|1074416121160076399|22</stp>
        <stp>GOOGL UW Equity</stp>
        <stp>CHG_PCT_YTD_RT</stp>
        <tr r="J216" s="2"/>
      </tp>
      <tp>
        <v>-5.8331999999999997</v>
        <stp/>
        <stp>BDP|5330210033246899510|22</stp>
        <stp>NSC UN Equity</stp>
        <stp>REALTIME_5_DAY_CHANGE_PERCENT</stp>
        <tr r="G346" s="2"/>
      </tp>
      <tp>
        <v>17.161300000000001</v>
        <stp/>
        <stp>BDP|7749592328303752011|22</stp>
        <stp>PKG UN Equity</stp>
        <stp>CHG_PCT_3M_RT</stp>
        <tr r="I378" s="2"/>
      </tp>
      <tp>
        <v>-4.2195999999999998</v>
        <stp/>
        <stp>BDP|4685571507611773919|22</stp>
        <stp>ADM UN Equity</stp>
        <stp>REALTIME_5_DAY_CHANGE_PERCENT</stp>
        <tr r="G14" s="2"/>
      </tp>
      <tp>
        <v>-3.3592</v>
        <stp/>
        <stp>BDP|3033331509466539586|22</stp>
        <stp>JNJ UN Equity</stp>
        <stp>REALTIME_5_DAY_CHANGE_PERCENT</stp>
        <tr r="G265" s="2"/>
      </tp>
      <tp>
        <v>-1.0535000000000001</v>
        <stp/>
        <stp>BDP|5733873842129577849|22</stp>
        <stp>MMM UN Equity</stp>
        <stp>REALTIME_5_DAY_CHANGE_PERCENT</stp>
        <tr r="G318" s="2"/>
      </tp>
      <tp>
        <v>40.81</v>
        <stp/>
        <stp>BDP|11169581193674398298|22</stp>
        <stp>FE UN Equity</stp>
        <stp>LAST_PRICE</stp>
        <tr r="B190" s="2"/>
        <tr r="C190" s="2"/>
        <tr r="D190" s="2"/>
        <tr r="E190" s="2"/>
      </tp>
      <tp>
        <v>212.34</v>
        <stp/>
        <stp>BDP|15449462801632982990|22</stp>
        <stp>RSG UN Equity</stp>
        <stp>LAST_PRICE</stp>
        <tr r="D408" s="2"/>
        <tr r="C408" s="2"/>
        <tr r="E408" s="2"/>
        <tr r="B408" s="2"/>
      </tp>
      <tp>
        <v>116.79</v>
        <stp/>
        <stp>BDP|16684731171837638861|22</stp>
        <stp>GPN UN Equity</stp>
        <stp>LAST_PRICE</stp>
        <tr r="B218" s="2"/>
        <tr r="D218" s="2"/>
        <tr r="E218" s="2"/>
        <tr r="C218" s="2"/>
      </tp>
      <tp>
        <v>130.87</v>
        <stp/>
        <stp>BDP|16869539080743447520|22</stp>
        <stp>AMD UW Equity</stp>
        <stp>LAST_PRICE</stp>
        <tr r="E31" s="2"/>
        <tr r="B31" s="2"/>
        <tr r="C31" s="2"/>
        <tr r="D31" s="2"/>
      </tp>
      <tp>
        <v>64.98</v>
        <stp/>
        <stp>BDP|10634261496593150955|22</stp>
        <stp>HAS UW Equity</stp>
        <stp>LAST_PRICE</stp>
        <tr r="E223" s="2"/>
        <tr r="C223" s="2"/>
        <tr r="D223" s="2"/>
        <tr r="B223" s="2"/>
      </tp>
      <tp t="s">
        <v>#N/A N/A</v>
        <stp/>
        <stp>BDP|134554031028957995|22</stp>
        <stp>SOLV UN Equity</stp>
        <stp>CHG_PCT_YTD_RT</stp>
        <tr r="J421" s="2"/>
      </tp>
      <tp>
        <v>116.58</v>
        <stp/>
        <stp>BDP|13337624829912080844|22</stp>
        <stp>RTX UN Equity</stp>
        <stp>LAST_PRICE</stp>
        <tr r="B409" s="2"/>
        <tr r="C409" s="2"/>
        <tr r="D409" s="2"/>
        <tr r="E409" s="2"/>
      </tp>
      <tp>
        <v>244.31</v>
        <stp/>
        <stp>BDP|16771163987266348454|22</stp>
        <stp>STZ UN Equity</stp>
        <stp>LAST_PRICE</stp>
        <tr r="B429" s="2"/>
        <tr r="C429" s="2"/>
        <tr r="D429" s="2"/>
        <tr r="E429" s="2"/>
      </tp>
      <tp>
        <v>182.46</v>
        <stp/>
        <stp>BDP|17370685902613036637|22</stp>
        <stp>CDW UW Equity</stp>
        <stp>LAST_PRICE</stp>
        <tr r="D89" s="2"/>
        <tr r="C89" s="2"/>
        <tr r="E89" s="2"/>
        <tr r="B89" s="2"/>
      </tp>
      <tp>
        <v>3.8041</v>
        <stp/>
        <stp>BDP|3031510644221100558|22</stp>
        <stp>SX5E Index</stp>
        <stp>CHG_PCT_1M_RT</stp>
        <tr r="H517" s="2"/>
      </tp>
      <tp>
        <v>0.58809999999999996</v>
        <stp/>
        <stp>BDP|1315486669479494224|22</stp>
        <stp>TAP UN Equity</stp>
        <stp>CHG_PCT_YTD_RT</stp>
        <tr r="J437" s="2"/>
      </tp>
      <tp>
        <v>48.865400000000001</v>
        <stp/>
        <stp>BDP|7522723891378028626|22</stp>
        <stp>PNR UN Equity</stp>
        <stp>CHG_PCT_YTD_RT</stp>
        <tr r="J383" s="2"/>
      </tp>
      <tp>
        <v>44.87</v>
        <stp/>
        <stp>BDP|8831903915431127224|22</stp>
        <stp>RJF UN Equity</stp>
        <stp>CHG_PCT_YTD_RT</stp>
        <tr r="J401" s="2"/>
      </tp>
      <tp>
        <v>11.4724</v>
        <stp/>
        <stp>BDP|8152930914280348626|22</stp>
        <stp>ROL UN Equity</stp>
        <stp>CHG_PCT_YTD_RT</stp>
        <tr r="J405" s="2"/>
      </tp>
      <tp>
        <v>137.27000000000001</v>
        <stp/>
        <stp>BDP|4052446944383836763|22</stp>
        <stp>ABNB UW Equity</stp>
        <stp>LAST_PRICE</stp>
        <tr r="B8" s="2"/>
        <tr r="C8" s="2"/>
        <tr r="D8" s="2"/>
        <tr r="E8" s="2"/>
      </tp>
      <tp>
        <v>788</v>
        <stp/>
        <stp>BDP|2984498056838402556|22</stp>
        <stp>REGN UW Equity</stp>
        <stp>LAST_PRICE</stp>
        <tr r="E399" s="2"/>
        <tr r="D399" s="2"/>
        <tr r="B399" s="2"/>
        <tr r="C399" s="2"/>
      </tp>
      <tp>
        <v>81.900000000000006</v>
        <stp/>
        <stp>BDP|2613430725065952416|22</stp>
        <stp>GEHC UW Equity</stp>
        <stp>LAST_PRICE</stp>
        <tr r="B206" s="2"/>
        <tr r="C206" s="2"/>
        <tr r="D206" s="2"/>
        <tr r="E206" s="2"/>
      </tp>
      <tp>
        <v>-2.4256000000000002</v>
        <stp/>
        <stp>BDP|1866592191894940116|22</stp>
        <stp>WBA UW Equity</stp>
        <stp>CHG_PCT_1M_RT</stp>
        <tr r="H487" s="2"/>
      </tp>
      <tp>
        <v>-5.6612</v>
        <stp/>
        <stp>BDP|2478395812160845649|22</stp>
        <stp>APD UN Equity</stp>
        <stp>REALTIME_5_DAY_CHANGE_PERCENT</stp>
        <tr r="G43" s="2"/>
      </tp>
      <tp>
        <v>-3.8984999999999999</v>
        <stp/>
        <stp>BDP|8543424580447883920|22</stp>
        <stp>CEG UW Equity</stp>
        <stp>REALTIME_5_DAY_CHANGE_PERCENT</stp>
        <tr r="G91" s="2"/>
      </tp>
      <tp>
        <v>0.4032</v>
        <stp/>
        <stp>BDP|9607928335001388660|22</stp>
        <stp>NWS UW Equity</stp>
        <stp>REALTIME_5_DAY_CHANGE_PERCENT</stp>
        <tr r="G352" s="2"/>
      </tp>
      <tp>
        <v>10.064399999999999</v>
        <stp/>
        <stp>BDP|9149732660677265429|22</stp>
        <stp>TAP UN Equity</stp>
        <stp>CHG_PCT_3M_RT</stp>
        <tr r="I437" s="2"/>
      </tp>
      <tp>
        <v>-14.860300000000001</v>
        <stp/>
        <stp>BDP|1726575836601842601|22</stp>
        <stp>UHS UN Equity</stp>
        <stp>CHG_PCT_3M_RT</stp>
        <tr r="I466" s="2"/>
      </tp>
      <tp>
        <v>2.0415999999999999</v>
        <stp/>
        <stp>BDP|6191491478825838268|22</stp>
        <stp>MKC UN Equity</stp>
        <stp>REALTIME_5_DAY_CHANGE_PERCENT</stp>
        <tr r="G314" s="2"/>
      </tp>
      <tp>
        <v>-6.7789999999999999</v>
        <stp/>
        <stp>BDP|7092046474264881527|22</stp>
        <stp>XOM UN Equity</stp>
        <stp>CHG_PCT_1M_RT</stp>
        <tr r="H502" s="2"/>
      </tp>
      <tp>
        <v>-4.4137000000000004</v>
        <stp/>
        <stp>BDP|9810684986376541772|22</stp>
        <stp>MGM UN Equity</stp>
        <stp>REALTIME_5_DAY_CHANGE_PERCENT</stp>
        <tr r="G312" s="2"/>
      </tp>
      <tp>
        <v>3.4940000000000002</v>
        <stp/>
        <stp>BDP|5803917029969808757|22</stp>
        <stp>TFC UN Equity</stp>
        <stp>CHG_PCT_1M_RT</stp>
        <tr r="H443" s="2"/>
      </tp>
      <tp>
        <v>-2.9813000000000001</v>
        <stp/>
        <stp>BDP|3550993910828294265|22</stp>
        <stp>MDT UN Equity</stp>
        <stp>REALTIME_5_DAY_CHANGE_PERCENT</stp>
        <tr r="G309" s="2"/>
      </tp>
      <tp>
        <v>17.022200000000002</v>
        <stp/>
        <stp>BDP|12967058613753961189|22</stp>
        <stp>NKY Index</stp>
        <stp>CHG_PCT_YTD_RT</stp>
        <tr r="J528" s="2"/>
      </tp>
      <tp>
        <v>13.7134</v>
        <stp/>
        <stp>BDP|13851391194424374285|22</stp>
        <stp>AEX Index</stp>
        <stp>CHG_PCT_YTD_RT</stp>
        <tr r="J523" s="2"/>
      </tp>
      <tp>
        <v>-0.1128000020980835</v>
        <stp/>
        <stp>BDP|15181253788623784758|22</stp>
        <stp>FBMKLCI Index</stp>
        <stp>RT_PX_CHG_PCT_1D</stp>
        <tr r="F536" s="2"/>
      </tp>
      <tp>
        <v>62.6</v>
        <stp/>
        <stp>BDP|16514428964771711792|22</stp>
        <stp>KO UN Equity</stp>
        <stp>LAST_PRICE</stp>
        <tr r="D279" s="2"/>
        <tr r="E279" s="2"/>
        <tr r="B279" s="2"/>
        <tr r="C279" s="2"/>
      </tp>
      <tp>
        <v>62.04</v>
        <stp/>
        <stp>BDP|15935839028454020360|22</stp>
        <stp>WRB UN Equity</stp>
        <stp>LAST_PRICE</stp>
        <tr r="B496" s="2"/>
        <tr r="C496" s="2"/>
        <tr r="D496" s="2"/>
        <tr r="E496" s="2"/>
      </tp>
      <tp>
        <v>82.53</v>
        <stp/>
        <stp>BDP|16624290452393059732|22</stp>
        <stp>PFG UW Equity</stp>
        <stp>LAST_PRICE</stp>
        <tr r="B373" s="2"/>
        <tr r="C373" s="2"/>
        <tr r="D373" s="2"/>
        <tr r="E373" s="2"/>
      </tp>
      <tp>
        <v>0.52459999999999996</v>
        <stp/>
        <stp>BDP|10164131110178200836|22</stp>
        <stp>EW UN Equity</stp>
        <stp>REALTIME_5_DAY_CHANGE_PERCENT</stp>
        <tr r="G179" s="2"/>
      </tp>
      <tp>
        <v>-0.61639999999999995</v>
        <stp/>
        <stp>BDP|17058725066493235847|22</stp>
        <stp>BK UN Equity</stp>
        <stp>REALTIME_5_DAY_CHANGE_PERCENT</stp>
        <tr r="G65" s="2"/>
      </tp>
      <tp>
        <v>33.9</v>
        <stp/>
        <stp>BDP|16727491893460018419|22</stp>
        <stp>LUV UN Equity</stp>
        <stp>LAST_PRICE</stp>
        <tr r="D295" s="2"/>
        <tr r="E295" s="2"/>
        <tr r="B295" s="2"/>
        <tr r="C295" s="2"/>
      </tp>
      <tp>
        <v>130.08000000000001</v>
        <stp/>
        <stp>BDP|17758978644831108269|22</stp>
        <stp>PSX UN Equity</stp>
        <stp>LAST_PRICE</stp>
        <tr r="E391" s="2"/>
        <tr r="D391" s="2"/>
        <tr r="B391" s="2"/>
        <tr r="C391" s="2"/>
      </tp>
      <tp>
        <v>5.4785000000000004</v>
        <stp/>
        <stp>BDP|6345100399320868040|22</stp>
        <stp>TDY UN Equity</stp>
        <stp>CHG_PCT_YTD_RT</stp>
        <tr r="J439" s="2"/>
      </tp>
      <tp>
        <v>11.422800000000001</v>
        <stp/>
        <stp>BDP|5589877684633296134|22</stp>
        <stp>EMN UN Equity</stp>
        <stp>CHG_PCT_YTD_RT</stp>
        <tr r="J165" s="2"/>
      </tp>
      <tp>
        <v>-20.887799999999999</v>
        <stp/>
        <stp>BDP|5416980298252990105|22</stp>
        <stp>SLB UN Equity</stp>
        <stp>CHG_PCT_YTD_RT</stp>
        <tr r="J416" s="2"/>
      </tp>
      <tp>
        <v>33.39</v>
        <stp/>
        <stp>BDP|3719630325681570541|22</stp>
        <stp>MTCH UW Equity</stp>
        <stp>LAST_PRICE</stp>
        <tr r="C332" s="2"/>
        <tr r="D332" s="2"/>
        <tr r="E332" s="2"/>
        <tr r="B332" s="2"/>
      </tp>
      <tp>
        <v>26.417400000000001</v>
        <stp/>
        <stp>BDP|7244726646085152484|22</stp>
        <stp>AON UN Equity</stp>
        <stp>CHG_PCT_YTD_RT</stp>
        <tr r="J40" s="2"/>
      </tp>
      <tp>
        <v>156.46</v>
        <stp/>
        <stp>BDP|5830302014827754219|22</stp>
        <stp>BIIB UW Equity</stp>
        <stp>LAST_PRICE</stp>
        <tr r="D64" s="2"/>
        <tr r="E64" s="2"/>
        <tr r="B64" s="2"/>
        <tr r="C64" s="2"/>
      </tp>
      <tp>
        <v>-24.100200000000001</v>
        <stp/>
        <stp>BDP|9756031491714045203|22</stp>
        <stp>ALB UN Equity</stp>
        <stp>CHG_PCT_YTD_RT</stp>
        <tr r="J25" s="2"/>
      </tp>
      <tp>
        <v>-1.8286</v>
        <stp/>
        <stp>BDP|5512007134155686637|22</stp>
        <stp>ADI UW Equity</stp>
        <stp>REALTIME_5_DAY_CHANGE_PERCENT</stp>
        <tr r="G13" s="2"/>
      </tp>
      <tp>
        <v>0.57079999999999997</v>
        <stp/>
        <stp>BDP|7405626941426794018|22</stp>
        <stp>PPG UN Equity</stp>
        <stp>CHG_PCT_3M_RT</stp>
        <tr r="I387" s="2"/>
      </tp>
      <tp>
        <v>-1.6508</v>
        <stp/>
        <stp>BDP|7130456042503800444|22</stp>
        <stp>AVB UN Equity</stp>
        <stp>REALTIME_5_DAY_CHANGE_PERCENT</stp>
        <tr r="G48" s="2"/>
      </tp>
      <tp>
        <v>4.5444000000000004</v>
        <stp/>
        <stp>BDP|2079790343429928630|22</stp>
        <stp>AZO UN Equity</stp>
        <stp>REALTIME_5_DAY_CHANGE_PERCENT</stp>
        <tr r="G54" s="2"/>
      </tp>
      <tp>
        <v>4.8329000000000004</v>
        <stp/>
        <stp>BDP|3195007830451492629|22</stp>
        <stp>KMX UN Equity</stp>
        <stp>REALTIME_5_DAY_CHANGE_PERCENT</stp>
        <tr r="G278" s="2"/>
      </tp>
      <tp>
        <v>-2.6431</v>
        <stp/>
        <stp>BDP|1864044015149419977|22</stp>
        <stp>SHW UN Equity</stp>
        <stp>CHG_PCT_1M_RT</stp>
        <tr r="H414" s="2"/>
      </tp>
      <tp>
        <v>202.89</v>
        <stp/>
        <stp>BDP|12377428962697542851|22</stp>
        <stp>FI UN Equity</stp>
        <stp>LAST_PRICE</stp>
        <tr r="D192" s="2"/>
        <tr r="E192" s="2"/>
        <tr r="B192" s="2"/>
        <tr r="C192" s="2"/>
      </tp>
      <tp>
        <v>0.13349999487400055</v>
        <stp/>
        <stp>BDP|6233878330233373865|22</stp>
        <stp>PYPL UW Equity</stp>
        <stp>RT_PX_CHG_PCT_1D</stp>
        <tr r="F394" s="2"/>
      </tp>
      <tp>
        <v>141.05000000000001</v>
        <stp/>
        <stp>BDP|12099647383761701298|22</stp>
        <stp>ATO UN Equity</stp>
        <stp>LAST_PRICE</stp>
        <tr r="E47" s="2"/>
        <tr r="B47" s="2"/>
        <tr r="C47" s="2"/>
        <tr r="D47" s="2"/>
      </tp>
      <tp>
        <v>182.11</v>
        <stp/>
        <stp>BDP|11712208843105959921|22</stp>
        <stp>SPG UN Equity</stp>
        <stp>LAST_PRICE</stp>
        <tr r="E422" s="2"/>
        <tr r="B422" s="2"/>
        <tr r="C422" s="2"/>
        <tr r="D422" s="2"/>
      </tp>
      <tp>
        <v>148.31</v>
        <stp/>
        <stp>BDP|14589817959342573311|22</stp>
        <stp>VST UN Equity</stp>
        <stp>LAST_PRICE</stp>
        <tr r="E481" s="2"/>
        <tr r="B481" s="2"/>
        <tr r="C481" s="2"/>
        <tr r="D481" s="2"/>
      </tp>
      <tp>
        <v>37.294699999999999</v>
        <stp/>
        <stp>BDP|5501839276598477559|22</stp>
        <stp>HLT UN Equity</stp>
        <stp>CHG_PCT_YTD_RT</stp>
        <tr r="J230" s="2"/>
      </tp>
      <tp>
        <v>28.473400000000002</v>
        <stp/>
        <stp>BDP|9006918557550422623|22</stp>
        <stp>MHK UN Equity</stp>
        <stp>CHG_PCT_YTD_RT</stp>
        <tr r="J313" s="2"/>
      </tp>
      <tp>
        <v>9.3431999999999995</v>
        <stp/>
        <stp>BDP|1338952823480959864|22</stp>
        <stp>AIG UN Equity</stp>
        <stp>CHG_PCT_YTD_RT</stp>
        <tr r="J21" s="2"/>
      </tp>
      <tp>
        <v>1.2133</v>
        <stp/>
        <stp>BDP|4185696758944999597|22</stp>
        <stp>TMO UN Equity</stp>
        <stp>CHG_PCT_YTD_RT</stp>
        <tr r="J447" s="2"/>
      </tp>
      <tp>
        <v>120.64</v>
        <stp/>
        <stp>BDP|4226147580476512680|22</stp>
        <stp>EXPD UN Equity</stp>
        <stp>LAST_PRICE</stp>
        <tr r="C181" s="2"/>
        <tr r="D181" s="2"/>
        <tr r="E181" s="2"/>
        <tr r="B181" s="2"/>
      </tp>
      <tp>
        <v>42.285800000000002</v>
        <stp/>
        <stp>BDP|1285877767808542114|22</stp>
        <stp>RMD UN Equity</stp>
        <stp>CHG_PCT_YTD_RT</stp>
        <tr r="J403" s="2"/>
      </tp>
      <tp>
        <v>-6.7652999999999999</v>
        <stp/>
        <stp>BDP|6248041323667940257|22</stp>
        <stp>SJM UN Equity</stp>
        <stp>CHG_PCT_YTD_RT</stp>
        <tr r="J415" s="2"/>
      </tp>
      <tp>
        <v>29.7803</v>
        <stp/>
        <stp>BDP|5022443461196386060|22</stp>
        <stp>AJG UN Equity</stp>
        <stp>CHG_PCT_YTD_RT</stp>
        <tr r="J23" s="2"/>
      </tp>
      <tp>
        <v>0.80730000000000002</v>
        <stp/>
        <stp>BDP|7694670593143484061|22</stp>
        <stp>APH UN Equity</stp>
        <stp>REALTIME_5_DAY_CHANGE_PERCENT</stp>
        <tr r="G44" s="2"/>
      </tp>
      <tp>
        <v>-12.167</v>
        <stp/>
        <stp>BDP|9514344917705345994|22</stp>
        <stp>STE UN Equity</stp>
        <stp>CHG_PCT_3M_RT</stp>
        <tr r="I425" s="2"/>
      </tp>
      <tp>
        <v>-1.2624</v>
        <stp/>
        <stp>BDP|5002956569858805530|22</stp>
        <stp>GPC UN Equity</stp>
        <stp>REALTIME_5_DAY_CHANGE_PERCENT</stp>
        <tr r="G217" s="2"/>
      </tp>
      <tp>
        <v>-2.6141000000000001</v>
        <stp/>
        <stp>BDP|1622502164472577003|22</stp>
        <stp>CNC UN Equity</stp>
        <stp>REALTIME_5_DAY_CHANGE_PERCENT</stp>
        <tr r="G106" s="2"/>
      </tp>
      <tp>
        <v>-1.9234</v>
        <stp/>
        <stp>BDP|5125349985128187555|22</stp>
        <stp>RMD UN Equity</stp>
        <stp>CHG_PCT_3M_RT</stp>
        <tr r="I403" s="2"/>
      </tp>
      <tp>
        <v>-1.446</v>
        <stp/>
        <stp>BDP|4162539302862353383|22</stp>
        <stp>DOV UN Equity</stp>
        <stp>REALTIME_5_DAY_CHANGE_PERCENT</stp>
        <tr r="G147" s="2"/>
      </tp>
      <tp>
        <v>-1.9852000000000001</v>
        <stp/>
        <stp>BDP|5417121098499462400|22</stp>
        <stp>LMT UN Equity</stp>
        <stp>REALTIME_5_DAY_CHANGE_PERCENT</stp>
        <tr r="G290" s="2"/>
      </tp>
      <tp>
        <v>11.987299999999999</v>
        <stp/>
        <stp>BDP|8426947956024466848|22</stp>
        <stp>PNC UN Equity</stp>
        <stp>CHG_PCT_3M_RT</stp>
        <tr r="I382" s="2"/>
      </tp>
      <tp>
        <v>30.9801</v>
        <stp/>
        <stp>BDP|11179341230685806571|22</stp>
        <stp>EMR UN Equity</stp>
        <stp>CHG_PCT_3M_RT</stp>
        <tr r="I166" s="2"/>
      </tp>
      <tp>
        <v>-17.433700000000002</v>
        <stp/>
        <stp>BDP|17521131233097919316|22</stp>
        <stp>CNC UN Equity</stp>
        <stp>CHG_PCT_3M_RT</stp>
        <tr r="I106" s="2"/>
      </tp>
      <tp>
        <v>1.6871</v>
        <stp/>
        <stp>BDP|13192132451465536411|22</stp>
        <stp>FIS UN Equity</stp>
        <stp>CHG_PCT_3M_RT</stp>
        <tr r="I194" s="2"/>
      </tp>
      <tp>
        <v>-1.7581</v>
        <stp/>
        <stp>BDP|14227709912892612854|22</stp>
        <stp>EXC UW Equity</stp>
        <stp>CHG_PCT_1M_RT</stp>
        <tr r="H180" s="2"/>
      </tp>
      <tp>
        <v>-10.2095</v>
        <stp/>
        <stp>BDP|12825426426932758234|22</stp>
        <stp>JNJ UN Equity</stp>
        <stp>CHG_PCT_3M_RT</stp>
        <tr r="I265" s="2"/>
      </tp>
      <tp>
        <v>16.311499999999999</v>
        <stp/>
        <stp>BDP|15418004612715967791|22</stp>
        <stp>HLT UN Equity</stp>
        <stp>CHG_PCT_3M_RT</stp>
        <tr r="I230" s="2"/>
      </tp>
      <tp>
        <v>0.5948</v>
        <stp/>
        <stp>BDP|17497950441304330809|22</stp>
        <stp>CMS UN Equity</stp>
        <stp>CHG_PCT_1M_RT</stp>
        <tr r="H105" s="2"/>
      </tp>
      <tp>
        <v>-0.36259999999999998</v>
        <stp/>
        <stp>BDP|12870030976225340743|22</stp>
        <stp>PLD UN Equity</stp>
        <stp>REALTIME_5_DAY_CHANGE_PERCENT</stp>
        <tr r="G379" s="2"/>
      </tp>
      <tp>
        <v>3.4605000000000001</v>
        <stp/>
        <stp>BDP|17334918324839449328|22</stp>
        <stp>MCD UN Equity</stp>
        <stp>CHG_PCT_3M_RT</stp>
        <tr r="I304" s="2"/>
      </tp>
      <tp>
        <v>-5.4398</v>
        <stp/>
        <stp>BDP|12758420122038589078|22</stp>
        <stp>CPB UW Equity</stp>
        <stp>CHG_PCT_1M_RT</stp>
        <tr r="H114" s="2"/>
      </tp>
      <tp>
        <v>22.4849</v>
        <stp/>
        <stp>BDP|15471105871138257374|22</stp>
        <stp>MTB UN Equity</stp>
        <stp>CHG_PCT_3M_RT</stp>
        <tr r="I331" s="2"/>
      </tp>
      <tp>
        <v>-4.5556999999999999</v>
        <stp/>
        <stp>BDP|10949646714519654258|22</stp>
        <stp>PRU UN Equity</stp>
        <stp>REALTIME_5_DAY_CHANGE_PERCENT</stp>
        <tr r="G389" s="2"/>
      </tp>
      <tp>
        <v>-2.8919999999999999</v>
        <stp/>
        <stp>BDP|17070333436479452007|22</stp>
        <stp>AVB UN Equity</stp>
        <stp>CHG_PCT_1M_RT</stp>
        <tr r="H48" s="2"/>
      </tp>
      <tp>
        <v>2.1135000000000002</v>
        <stp/>
        <stp>BDP|11095341832272883183|22</stp>
        <stp>IVZ UN Equity</stp>
        <stp>CHG_PCT_1M_RT</stp>
        <tr r="H259" s="2"/>
      </tp>
      <tp>
        <v>-2.6421999999999999</v>
        <stp/>
        <stp>BDP|11809404594568785097|22</stp>
        <stp>TSN UN Equity</stp>
        <stp>REALTIME_5_DAY_CHANGE_PERCENT</stp>
        <tr r="G457" s="2"/>
      </tp>
      <tp>
        <v>-6.2910000000000004</v>
        <stp/>
        <stp>BDP|16183782804725634687|22</stp>
        <stp>MPC UN Equity</stp>
        <stp>CHG_PCT_3M_RT</stp>
        <tr r="I323" s="2"/>
      </tp>
      <tp>
        <v>42.36</v>
        <stp/>
        <stp>BDP|4144931739945878890|22</stp>
        <stp>VZ UN Equity</stp>
        <stp>LAST_PRICE</stp>
        <tr r="B484" s="2"/>
        <tr r="C484" s="2"/>
        <tr r="D484" s="2"/>
        <tr r="E484" s="2"/>
      </tp>
      <tp>
        <v>4.3515000343322754</v>
        <stp/>
        <stp>BDP|14045826145815253765|22</stp>
        <stp>MCHP UW Equity</stp>
        <stp>RT_PX_CHG_PCT_1D</stp>
        <tr r="F305" s="2"/>
      </tp>
      <tp>
        <v>0.4595000147819519</v>
        <stp/>
        <stp>BDP|18228851668142336120|22</stp>
        <stp>GOOG UW Equity</stp>
        <stp>RT_PX_CHG_PCT_1D</stp>
        <tr r="F215" s="2"/>
      </tp>
      <tp>
        <v>1.7000000923871994E-2</v>
        <stp/>
        <stp>BDP|14192997613811247815|22</stp>
        <stp>INTU UW Equity</stp>
        <stp>RT_PX_CHG_PCT_1D</stp>
        <tr r="F249" s="2"/>
      </tp>
      <tp>
        <v>22.186399999999999</v>
        <stp/>
        <stp>BDP|12725196703454446753|22</stp>
        <stp>PODD UW Equity</stp>
        <stp>CHG_PCT_YTD_RT</stp>
        <tr r="J385" s="2"/>
      </tp>
      <tp>
        <v>1.8526999950408936</v>
        <stp/>
        <stp>BDP|10618449051533041101|22</stp>
        <stp>AMGN UW Equity</stp>
        <stp>RT_PX_CHG_PCT_1D</stp>
        <tr r="F33" s="2"/>
      </tp>
      <tp>
        <v>-1.4404000043869019</v>
        <stp/>
        <stp>BDP|11844546783962928367|22</stp>
        <stp>FITB UW Equity</stp>
        <stp>RT_PX_CHG_PCT_1D</stp>
        <tr r="F195" s="2"/>
      </tp>
      <tp>
        <v>0.62159997224807739</v>
        <stp/>
        <stp>BDP|10541514114965396995|22</stp>
        <stp>KLAC UW Equity</stp>
        <stp>RT_PX_CHG_PCT_1D</stp>
        <tr r="F275" s="2"/>
      </tp>
      <tp>
        <v>16.0901</v>
        <stp/>
        <stp>BDP|17924665560727213291|22</stp>
        <stp>FSLR UW Equity</stp>
        <stp>CHG_PCT_YTD_RT</stp>
        <tr r="J200" s="2"/>
      </tp>
      <tp>
        <v>2.2637999057769775</v>
        <stp/>
        <stp>BDP|14566585599977771870|22</stp>
        <stp>NXPI UW Equity</stp>
        <stp>RT_PX_CHG_PCT_1D</stp>
        <tr r="F354" s="2"/>
      </tp>
      <tp>
        <v>0.10220000147819519</v>
        <stp/>
        <stp>BDP|13490476116779703795|22</stp>
        <stp>NWSA UW Equity</stp>
        <stp>RT_PX_CHG_PCT_1D</stp>
        <tr r="F353" s="2"/>
      </tp>
      <tp>
        <v>-1.2130000000000001</v>
        <stp/>
        <stp>BDP|12042386143993906767|22</stp>
        <stp>PCAR UW Equity</stp>
        <stp>REALTIME_5_DAY_CHANGE_PERCENT</stp>
        <tr r="G368" s="2"/>
      </tp>
      <tp>
        <v>-2.4940000000000002</v>
        <stp/>
        <stp>BDP|13366862449375124109|22</stp>
        <stp>CINF UW Equity</stp>
        <stp>REALTIME_5_DAY_CHANGE_PERCENT</stp>
        <tr r="G98" s="2"/>
      </tp>
      <tp>
        <v>-1.1065</v>
        <stp/>
        <stp>BDP|11629752332758211746|22</stp>
        <stp>CSGP UW Equity</stp>
        <stp>CHG_PCT_3M_RT</stp>
        <tr r="I121" s="2"/>
      </tp>
      <tp>
        <v>62.837699999999998</v>
        <stp/>
        <stp>BDP|14472790379388038041|22</stp>
        <stp>LULU UW Equity</stp>
        <stp>CHG_PCT_3M_RT</stp>
        <tr r="I294" s="2"/>
      </tp>
      <tp>
        <v>-1.4295</v>
        <stp/>
        <stp>BDP|13280425500876063827|22</stp>
        <stp>BKNG UW Equity</stp>
        <stp>REALTIME_5_DAY_CHANGE_PERCENT</stp>
        <tr r="G66" s="2"/>
      </tp>
      <tp>
        <v>-40.412500000000001</v>
        <stp/>
        <stp>BDP|13639846183170441867|22</stp>
        <stp>MRNA UW Equity</stp>
        <stp>CHG_PCT_3M_RT</stp>
        <tr r="I326" s="2"/>
      </tp>
      <tp>
        <v>1.9504999999999999</v>
        <stp/>
        <stp>BDP|818186114023288195|22</stp>
        <stp>WAT UN Equity</stp>
        <stp>CHG_PCT_1M_RT</stp>
        <tr r="H486" s="2"/>
      </tp>
      <tp>
        <v>-2.2404000000000002</v>
        <stp/>
        <stp>BDP|11243371160126274932|22</stp>
        <stp>EFX UN Equity</stp>
        <stp>CHG_PCT_1M_RT</stp>
        <tr r="H160" s="2"/>
      </tp>
      <tp>
        <v>-7.3494000000000002</v>
        <stp/>
        <stp>BDP|14148855598340425927|22</stp>
        <stp>MDT UN Equity</stp>
        <stp>CHG_PCT_3M_RT</stp>
        <tr r="I309" s="2"/>
      </tp>
      <tp>
        <v>2.0356999999999998</v>
        <stp/>
        <stp>BDP|16784861766211604261|22</stp>
        <stp>MEXBOL Index</stp>
        <stp>CHG_PCT_3M_RT</stp>
        <tr r="I510" s="2"/>
      </tp>
      <tp>
        <v>6.3E-3</v>
        <stp/>
        <stp>BDP|18244045205387622465|22</stp>
        <stp>MAA UN Equity</stp>
        <stp>CHG_PCT_1M_RT</stp>
        <tr r="H301" s="2"/>
      </tp>
      <tp>
        <v>-2.5461</v>
        <stp/>
        <stp>BDP|17615976590617296619|22</stp>
        <stp>FMC UN Equity</stp>
        <stp>CHG_PCT_1M_RT</stp>
        <tr r="H196" s="2"/>
      </tp>
      <tp>
        <v>-12.6387</v>
        <stp/>
        <stp>BDP|16467174349913725014|22</stp>
        <stp>ADM UN Equity</stp>
        <stp>CHG_PCT_3M_RT</stp>
        <tr r="I14" s="2"/>
      </tp>
      <tp>
        <v>-10.235099999999999</v>
        <stp/>
        <stp>BDP|16233307937618089848|22</stp>
        <stp>CZR UW Equity</stp>
        <stp>CHG_PCT_1M_RT</stp>
        <tr r="H130" s="2"/>
      </tp>
      <tp>
        <v>-3.9889000000000001</v>
        <stp/>
        <stp>BDP|17945046530649318193|22</stp>
        <stp>VLO UN Equity</stp>
        <stp>REALTIME_5_DAY_CHANGE_PERCENT</stp>
        <tr r="G475" s="2"/>
      </tp>
      <tp>
        <v>2.4910000000000001</v>
        <stp/>
        <stp>BDP|17147536484774500246|22</stp>
        <stp>EMR UN Equity</stp>
        <stp>CHG_PCT_1M_RT</stp>
        <tr r="H166" s="2"/>
      </tp>
      <tp>
        <v>-2.1633</v>
        <stp/>
        <stp>BDP|12950290814655411839|22</stp>
        <stp>MTD UN Equity</stp>
        <stp>CHG_PCT_1M_RT</stp>
        <tr r="H333" s="2"/>
      </tp>
      <tp>
        <v>0.20050000000000001</v>
        <stp/>
        <stp>BDP|16460677012229850120|22</stp>
        <stp>CEG UW Equity</stp>
        <stp>CHG_PCT_1M_RT</stp>
        <tr r="H91" s="2"/>
      </tp>
      <tp>
        <v>21.307400000000001</v>
        <stp/>
        <stp>BDP|16680379450556061025|22</stp>
        <stp>APH UN Equity</stp>
        <stp>CHG_PCT_3M_RT</stp>
        <tr r="I44" s="2"/>
      </tp>
      <tp>
        <v>43.054200000000002</v>
        <stp/>
        <stp>BDP|11603753095069757346|22</stp>
        <stp>CRM UN Equity</stp>
        <stp>CHG_PCT_3M_RT</stp>
        <tr r="I118" s="2"/>
      </tp>
      <tp>
        <v>9.4327000000000005</v>
        <stp/>
        <stp>BDP|11449961164355014937|22</stp>
        <stp>HRL UN Equity</stp>
        <stp>CHG_PCT_1M_RT</stp>
        <tr r="H235" s="2"/>
      </tp>
      <tp>
        <v>6.8772000000000002</v>
        <stp/>
        <stp>BDP|11595896719854727675|22</stp>
        <stp>AZO UN Equity</stp>
        <stp>CHG_PCT_1M_RT</stp>
        <tr r="H54" s="2"/>
      </tp>
      <tp>
        <v>-14.7941</v>
        <stp/>
        <stp>BDP|13062836107581279651|22</stp>
        <stp>CDW UW Equity</stp>
        <stp>CHG_PCT_3M_RT</stp>
        <tr r="I89" s="2"/>
      </tp>
      <tp>
        <v>-13.2956</v>
        <stp/>
        <stp>BDP|10493996411411122731|22</stp>
        <stp>ALGN UW Equity</stp>
        <stp>CHG_PCT_YTD_RT</stp>
        <tr r="J26" s="2"/>
      </tp>
      <tp>
        <v>-1.6715999841690063</v>
        <stp/>
        <stp>BDP|14607237706850698231|22</stp>
        <stp>GILD UW Equity</stp>
        <stp>RT_PX_CHG_PCT_1D</stp>
        <tr r="F209" s="2"/>
      </tp>
      <tp>
        <v>-3.6074000000000002</v>
        <stp/>
        <stp>BDP|15838427264753257929|22</stp>
        <stp>AMGN UW Equity</stp>
        <stp>CHG_PCT_YTD_RT</stp>
        <tr r="J33" s="2"/>
      </tp>
      <tp>
        <v>3.3900001049041748</v>
        <stp/>
        <stp>BDP|15937377102200851513|22</stp>
        <stp>MPWR UW Equity</stp>
        <stp>RT_PX_CHG_PCT_1D</stp>
        <tr r="F324" s="2"/>
      </tp>
      <tp>
        <v>-0.32859998941421509</v>
        <stp/>
        <stp>BDP|12008364121724630450|22</stp>
        <stp>AVGO UW Equity</stp>
        <stp>RT_PX_CHG_PCT_1D</stp>
        <tr r="F49" s="2"/>
      </tp>
      <tp>
        <v>4.4878</v>
        <stp/>
        <stp>BDP|975113423449114288|22</stp>
        <stp>TRV UN Equity</stp>
        <stp>CHG_PCT_3M_RT</stp>
        <tr r="I454" s="2"/>
      </tp>
      <tp>
        <v>-3.625</v>
        <stp/>
        <stp>BDP|16001216040410583123|22</stp>
        <stp>JBHT UW Equity</stp>
        <stp>REALTIME_5_DAY_CHANGE_PERCENT</stp>
        <tr r="G261" s="2"/>
      </tp>
      <tp>
        <v>-1.5907</v>
        <stp/>
        <stp>BDP|526540569011105273|22</stp>
        <stp>ITW UN Equity</stp>
        <stp>REALTIME_5_DAY_CHANGE_PERCENT</stp>
        <tr r="G258" s="2"/>
      </tp>
      <tp>
        <v>11.6439</v>
        <stp/>
        <stp>BDP|13975187390316737763|22</stp>
        <stp>ORLY UW Equity</stp>
        <stp>CHG_PCT_3M_RT</stp>
        <tr r="I361" s="2"/>
      </tp>
      <tp>
        <v>5.5568999999999997</v>
        <stp/>
        <stp>BDP|16212475886950539182|22</stp>
        <stp>MSFT UW Equity</stp>
        <stp>CHG_PCT_1M_RT</stp>
        <tr r="H329" s="2"/>
      </tp>
      <tp>
        <v>-0.65349999999999997</v>
        <stp/>
        <stp>BDP|379176910357865286|22</stp>
        <stp>NVR UN Equity</stp>
        <stp>REALTIME_5_DAY_CHANGE_PERCENT</stp>
        <tr r="G351" s="2"/>
      </tp>
      <tp>
        <v>-3.7905000000000002</v>
        <stp/>
        <stp>BDP|631164918231218264|22</stp>
        <stp>VMC UN Equity</stp>
        <stp>CHG_PCT_1M_RT</stp>
        <tr r="H477" s="2"/>
      </tp>
      <tp>
        <v>-2.8426</v>
        <stp/>
        <stp>BDP|15757537514063729066|22</stp>
        <stp>FAST UW Equity</stp>
        <stp>REALTIME_5_DAY_CHANGE_PERCENT</stp>
        <tr r="G186" s="2"/>
      </tp>
      <tp>
        <v>0.6341</v>
        <stp/>
        <stp>BDP|14665945771505946519|22</stp>
        <stp>ORCL UN Equity</stp>
        <stp>CHG_PCT_1M_RT</stp>
        <tr r="H360" s="2"/>
      </tp>
      <tp>
        <v>0.8397</v>
        <stp/>
        <stp>BDP|15439090686575183470|22</stp>
        <stp>OTIS UN Equity</stp>
        <stp>CHG_PCT_1M_RT</stp>
        <tr r="H362" s="2"/>
      </tp>
      <tp>
        <v>-7.2435999999999998</v>
        <stp/>
        <stp>BDP|15666416621364379038|22</stp>
        <stp>MLM UN Equity</stp>
        <stp>CHG_PCT_1M_RT</stp>
        <tr r="H316" s="2"/>
      </tp>
      <tp>
        <v>-4.6432000000000002</v>
        <stp/>
        <stp>BDP|15766985176442619466|22</stp>
        <stp>HII UN Equity</stp>
        <stp>CHG_PCT_1M_RT</stp>
        <tr r="H229" s="2"/>
      </tp>
      <tp>
        <v>7.5632999999999999</v>
        <stp/>
        <stp>BDP|15945783298478761928|22</stp>
        <stp>CMI UN Equity</stp>
        <stp>CHG_PCT_1M_RT</stp>
        <tr r="H104" s="2"/>
      </tp>
      <tp>
        <v>-0.82069998979568481</v>
        <stp/>
        <stp>BDP|6667601668367444791|22</stp>
        <stp>D UN Equity</stp>
        <stp>RT_PX_CHG_PCT_1D</stp>
        <tr r="F131" s="2"/>
      </tp>
      <tp>
        <v>-0.53949999999999998</v>
        <stp/>
        <stp>BDP|13380274462943623966|22</stp>
        <stp>AME UN Equity</stp>
        <stp>CHG_PCT_1M_RT</stp>
        <tr r="H32" s="2"/>
      </tp>
      <tp>
        <v>-3.7256</v>
        <stp/>
        <stp>BDP|16330390106978126901|22</stp>
        <stp>BDX UN Equity</stp>
        <stp>CHG_PCT_1M_RT</stp>
        <tr r="H60" s="2"/>
      </tp>
      <tp>
        <v>5.9885999999999999</v>
        <stp/>
        <stp>BDP|12740630465821256736|22</stp>
        <stp>BEN UN Equity</stp>
        <stp>CHG_PCT_1M_RT</stp>
        <tr r="H61" s="2"/>
      </tp>
      <tp>
        <v>8.9350000000000005</v>
        <stp/>
        <stp>BDP|13392139172190524064|22</stp>
        <stp>LYV UN Equity</stp>
        <stp>CHG_PCT_1M_RT</stp>
        <tr r="H299" s="2"/>
      </tp>
      <tp>
        <v>0.93200000000000005</v>
        <stp/>
        <stp>BDP|15529993237664687975|22</stp>
        <stp>HAS UW Equity</stp>
        <stp>CHG_PCT_1M_RT</stp>
        <tr r="H223" s="2"/>
      </tp>
      <tp>
        <v>15.254200000000001</v>
        <stp/>
        <stp>BDP|11569720458063150396|22</stp>
        <stp>IVZ UN Equity</stp>
        <stp>CHG_PCT_3M_RT</stp>
        <tr r="I259" s="2"/>
      </tp>
      <tp>
        <v>6.6413000000000002</v>
        <stp/>
        <stp>BDP|12459030638429367900|22</stp>
        <stp>HPQ UN Equity</stp>
        <stp>CHG_PCT_3M_RT</stp>
        <tr r="I234" s="2"/>
      </tp>
      <tp>
        <v>35.600099999999998</v>
        <stp/>
        <stp>BDP|12203085415481418076|22</stp>
        <stp>EQT UN Equity</stp>
        <stp>CHG_PCT_3M_RT</stp>
        <tr r="I172" s="2"/>
      </tp>
      <tp>
        <v>-8.4786999999999999</v>
        <stp/>
        <stp>BDP|8741029225624576241|22</stp>
        <stp>ON UW Equity</stp>
        <stp>REALTIME_5_DAY_CHANGE_PERCENT</stp>
        <tr r="G359" s="2"/>
      </tp>
      <tp>
        <v>165.61</v>
        <stp/>
        <stp>BDP|7791567564353156534|22</stp>
        <stp>EA UW Equity</stp>
        <stp>LAST_PRICE</stp>
        <tr r="D156" s="2"/>
        <tr r="E156" s="2"/>
        <tr r="B156" s="2"/>
        <tr r="C156" s="2"/>
      </tp>
      <tp>
        <v>102.82</v>
        <stp/>
        <stp>BDP|4741299806371241977|22</stp>
        <stp>MU UW Equity</stp>
        <stp>LAST_PRICE</stp>
        <tr r="E334" s="2"/>
        <tr r="B334" s="2"/>
        <tr r="C334" s="2"/>
        <tr r="D334" s="2"/>
      </tp>
      <tp>
        <v>0.46579998731613159</v>
        <stp/>
        <stp>BDP|13787600586616981146|22</stp>
        <stp>KEYS UN Equity</stp>
        <stp>RT_PX_CHG_PCT_1D</stp>
        <tr r="F271" s="2"/>
      </tp>
      <tp>
        <v>-0.90960001945495605</v>
        <stp/>
        <stp>BDP|10583114779190655380|22</stp>
        <stp>ADBE UW Equity</stp>
        <stp>RT_PX_CHG_PCT_1D</stp>
        <tr r="F12" s="2"/>
      </tp>
      <tp>
        <v>-1.9728000164031982</v>
        <stp/>
        <stp>BDP|17657885895656382262|22</stp>
        <stp>ACGL UW Equity</stp>
        <stp>RT_PX_CHG_PCT_1D</stp>
        <tr r="F10" s="2"/>
      </tp>
      <tp>
        <v>35.790900000000001</v>
        <stp/>
        <stp>BDP|10694709033212845704|22</stp>
        <stp>ACGL UW Equity</stp>
        <stp>CHG_PCT_YTD_RT</stp>
        <tr r="J10" s="2"/>
      </tp>
      <tp>
        <v>-0.22900000214576721</v>
        <stp/>
        <stp>BDP|15321204459730870038|22</stp>
        <stp>ORLY UW Equity</stp>
        <stp>RT_PX_CHG_PCT_1D</stp>
        <tr r="F361" s="2"/>
      </tp>
      <tp>
        <v>-2.6770999431610107</v>
        <stp/>
        <stp>BDP|11014509883331178857|22</stp>
        <stp>NTAP UW Equity</stp>
        <stp>RT_PX_CHG_PCT_1D</stp>
        <tr r="F347" s="2"/>
      </tp>
      <tp>
        <v>18.6097</v>
        <stp/>
        <stp>BDP|18051810056543864338|22</stp>
        <stp>MSFT UW Equity</stp>
        <stp>CHG_PCT_YTD_RT</stp>
        <tr r="J329" s="2"/>
      </tp>
      <tp>
        <v>13.8078</v>
        <stp/>
        <stp>BDP|15420276389264285908|22</stp>
        <stp>WYNN UW Equity</stp>
        <stp>CHG_PCT_1M_RT</stp>
        <tr r="H500" s="2"/>
      </tp>
      <tp>
        <v>5.2027000000000001</v>
        <stp/>
        <stp>BDP|14815604446999381569|22</stp>
        <stp>EQIX UW Equity</stp>
        <stp>CHG_PCT_1M_RT</stp>
        <tr r="H170" s="2"/>
      </tp>
      <tp>
        <v>0.48309999999999997</v>
        <stp/>
        <stp>BDP|16356542645516975230|22</stp>
        <stp>EXPD UN Equity</stp>
        <stp>CHG_PCT_1M_RT</stp>
        <tr r="H181" s="2"/>
      </tp>
      <tp>
        <v>-18.577500000000001</v>
        <stp/>
        <stp>BDP|10513899847092888775|22</stp>
        <stp>ERIE UW Equity</stp>
        <stp>CHG_PCT_3M_RT</stp>
        <tr r="I173" s="2"/>
      </tp>
      <tp>
        <v>4.2671999999999999</v>
        <stp/>
        <stp>BDP|14077623718933880930|22</stp>
        <stp>VRSK UW Equity</stp>
        <stp>CHG_PCT_3M_RT</stp>
        <tr r="I478" s="2"/>
      </tp>
      <tp>
        <v>19.930099999999999</v>
        <stp/>
        <stp>BDP|12342686684293959406|22</stp>
        <stp>EPAM UN Equity</stp>
        <stp>CHG_PCT_3M_RT</stp>
        <tr r="I169" s="2"/>
      </tp>
      <tp>
        <v>-4.8653000000000004</v>
        <stp/>
        <stp>BDP|12144913751384412844|22</stp>
        <stp>CBOE UF Equity</stp>
        <stp>REALTIME_5_DAY_CHANGE_PERCENT</stp>
        <tr r="G84" s="2"/>
      </tp>
      <tp>
        <v>0.1474</v>
        <stp/>
        <stp>BDP|11239143578284539008|22</stp>
        <stp>SCHW UN Equity</stp>
        <stp>REALTIME_5_DAY_CHANGE_PERCENT</stp>
        <tr r="G413" s="2"/>
      </tp>
      <tp>
        <v>15.2247</v>
        <stp/>
        <stp>BDP|796619780241521358|22</stp>
        <stp>ROK UN Equity</stp>
        <stp>CHG_PCT_3M_RT</stp>
        <tr r="I404" s="2"/>
      </tp>
      <tp>
        <v>0.33329999999999999</v>
        <stp/>
        <stp>BDP|18422930619335825397|22</stp>
        <stp>AMP UN Equity</stp>
        <stp>CHG_PCT_1M_RT</stp>
        <tr r="H34" s="2"/>
      </tp>
      <tp>
        <v>9.0090000000000003</v>
        <stp/>
        <stp>BDP|13198626724825843048|22</stp>
        <stp>MET UN Equity</stp>
        <stp>CHG_PCT_3M_RT</stp>
        <tr r="I310" s="2"/>
      </tp>
      <tp>
        <v>4.6611000000000002</v>
        <stp/>
        <stp>BDP|12029699409258206908|22</stp>
        <stp>MGM UN Equity</stp>
        <stp>CHG_PCT_3M_RT</stp>
        <tr r="I312" s="2"/>
      </tp>
      <tp>
        <v>-3.9459</v>
        <stp/>
        <stp>BDP|11394362739454094847|22</stp>
        <stp>AWK UN Equity</stp>
        <stp>CHG_PCT_1M_RT</stp>
        <tr r="H51" s="2"/>
      </tp>
      <tp>
        <v>-1.2188000000000001</v>
        <stp/>
        <stp>BDP|18345455002386357301|22</stp>
        <stp>RSG UN Equity</stp>
        <stp>REALTIME_5_DAY_CHANGE_PERCENT</stp>
        <tr r="G408" s="2"/>
      </tp>
      <tp>
        <v>9.2002000000000006</v>
        <stp/>
        <stp>BDP|10454476950656058238|22</stp>
        <stp>CRM UN Equity</stp>
        <stp>CHG_PCT_1M_RT</stp>
        <tr r="H118" s="2"/>
      </tp>
      <tp>
        <v>2.7105000000000001</v>
        <stp/>
        <stp>BDP|11146994683463259165|22</stp>
        <stp>LKQ UW Equity</stp>
        <stp>CHG_PCT_1M_RT</stp>
        <tr r="H288" s="2"/>
      </tp>
      <tp>
        <v>-0.42120000000000002</v>
        <stp/>
        <stp>BDP|8775702845557197425|22</stp>
        <stp>LW UN Equity</stp>
        <stp>REALTIME_5_DAY_CHANGE_PERCENT</stp>
        <tr r="G297" s="2"/>
      </tp>
      <tp>
        <v>-2.1178998947143555</v>
        <stp/>
        <stp>BDP|817789477405711573|22</stp>
        <stp>FI UN Equity</stp>
        <stp>RT_PX_CHG_PCT_1D</stp>
        <tr r="F192" s="2"/>
      </tp>
      <tp>
        <v>-0.90880000000000005</v>
        <stp/>
        <stp>BDP|8331149115122879310|22</stp>
        <stp>BX UN Equity</stp>
        <stp>REALTIME_5_DAY_CHANGE_PERCENT</stp>
        <tr r="G76" s="2"/>
      </tp>
      <tp>
        <v>-3.0123000000000002</v>
        <stp/>
        <stp>BDP|6538621053154194746|22</stp>
        <stp>CF UN Equity</stp>
        <stp>REALTIME_5_DAY_CHANGE_PERCENT</stp>
        <tr r="G92" s="2"/>
      </tp>
      <tp>
        <v>148.74770000000001</v>
        <stp/>
        <stp>BDP|12380750179053955023|22</stp>
        <stp>AXON UW Equity</stp>
        <stp>CHG_PCT_YTD_RT</stp>
        <tr r="J52" s="2"/>
      </tp>
      <tp>
        <v>2.7123000621795654</v>
        <stp/>
        <stp>BDP|18224328267951733555|22</stp>
        <stp>HSIC UW Equity</stp>
        <stp>RT_PX_CHG_PCT_1D</stp>
        <tr r="F236" s="2"/>
      </tp>
      <tp>
        <v>14.7646</v>
        <stp/>
        <stp>BDP|14000075486228240175|22</stp>
        <stp>TROW UW Equity</stp>
        <stp>CHG_PCT_YTD_RT</stp>
        <tr r="J453" s="2"/>
      </tp>
      <tp>
        <v>-0.62919998168945313</v>
        <stp/>
        <stp>BDP|11455549113789851444|22</stp>
        <stp>EXPE UW Equity</stp>
        <stp>RT_PX_CHG_PCT_1D</stp>
        <tr r="F182" s="2"/>
      </tp>
      <tp>
        <v>-15.173299999999999</v>
        <stp/>
        <stp>BDP|11761362332337720833|22</stp>
        <stp>MDLZ UW Equity</stp>
        <stp>CHG_PCT_YTD_RT</stp>
        <tr r="J308" s="2"/>
      </tp>
      <tp>
        <v>-2.5483999252319336</v>
        <stp/>
        <stp>BDP|17845372472510966010|22</stp>
        <stp>NVDA UW Equity</stp>
        <stp>RT_PX_CHG_PCT_1D</stp>
        <tr r="F350" s="2"/>
      </tp>
      <tp>
        <v>64.674000000000007</v>
        <stp/>
        <stp>BDP|49079141659486344|22</stp>
        <stp>TT UN Equity</stp>
        <stp>CHG_PCT_YTD_RT</stp>
        <tr r="J458" s="2"/>
      </tp>
      <tp>
        <v>5.0757000000000003</v>
        <stp/>
        <stp>BDP|17576189186124449270|22</stp>
        <stp>TROW UW Equity</stp>
        <stp>CHG_PCT_1M_RT</stp>
        <tr r="H453" s="2"/>
      </tp>
      <tp>
        <v>-3.6482000000000001</v>
        <stp/>
        <stp>BDP|10872757688673222483|22</stp>
        <stp>GILD UW Equity</stp>
        <stp>REALTIME_5_DAY_CHANGE_PERCENT</stp>
        <tr r="G209" s="2"/>
      </tp>
      <tp>
        <v>6.1467999999999998</v>
        <stp/>
        <stp>BDP|13629515335980526045|22</stp>
        <stp>ADBE UW Equity</stp>
        <stp>REALTIME_5_DAY_CHANGE_PERCENT</stp>
        <tr r="G12" s="2"/>
      </tp>
      <tp>
        <v>-0.9909</v>
        <stp/>
        <stp>BDP|743887722008482521|22</stp>
        <stp>JPM UN Equity</stp>
        <stp>REALTIME_5_DAY_CHANGE_PERCENT</stp>
        <tr r="G267" s="2"/>
      </tp>
      <tp>
        <v>1.319</v>
        <stp/>
        <stp>BDP|17460386848607580979|22</stp>
        <stp>COST UW Equity</stp>
        <stp>REALTIME_5_DAY_CHANGE_PERCENT</stp>
        <tr r="G112" s="2"/>
      </tp>
      <tp>
        <v>0.41089999999999999</v>
        <stp/>
        <stp>BDP|11150362982635744135|22</stp>
        <stp>CTSH UW Equity</stp>
        <stp>CHG_PCT_1M_RT</stp>
        <tr r="H126" s="2"/>
      </tp>
      <tp>
        <v>14.585900000000001</v>
        <stp/>
        <stp>BDP|14737179771863009822|22</stp>
        <stp>KEY UN Equity</stp>
        <stp>CHG_PCT_3M_RT</stp>
        <tr r="I270" s="2"/>
      </tp>
      <tp>
        <v>-0.19820000231266022</v>
        <stp/>
        <stp>BDP|2938361598381808975|22</stp>
        <stp>K UN Equity</stp>
        <stp>RT_PX_CHG_PCT_1D</stp>
        <tr r="F268" s="2"/>
      </tp>
      <tp>
        <v>-3.0202</v>
        <stp/>
        <stp>BDP|18255173860507338049|22</stp>
        <stp>AFL UN Equity</stp>
        <stp>CHG_PCT_1M_RT</stp>
        <tr r="H20" s="2"/>
      </tp>
      <tp>
        <v>32.573300000000003</v>
        <stp/>
        <stp>BDP|17954269523878676176|22</stp>
        <stp>DFS UN Equity</stp>
        <stp>CHG_PCT_3M_RT</stp>
        <tr r="I138" s="2"/>
      </tp>
      <tp>
        <v>-4.2003000000000004</v>
        <stp/>
        <stp>BDP|12552071126044400096|22</stp>
        <stp>XOM UN Equity</stp>
        <stp>REALTIME_5_DAY_CHANGE_PERCENT</stp>
        <tr r="G502" s="2"/>
      </tp>
      <tp>
        <v>-4.0218999999999996</v>
        <stp/>
        <stp>BDP|10844018201350466259|22</stp>
        <stp>AFL UN Equity</stp>
        <stp>CHG_PCT_3M_RT</stp>
        <tr r="I20" s="2"/>
      </tp>
      <tp>
        <v>4.4127999999999998</v>
        <stp/>
        <stp>BDP|14033978469876375232|22</stp>
        <stp>AIZ UN Equity</stp>
        <stp>CHG_PCT_1M_RT</stp>
        <tr r="H22" s="2"/>
      </tp>
      <tp>
        <v>2.3586999999999998</v>
        <stp/>
        <stp>BDP|14729151000680098838|22</stp>
        <stp>MMM UN Equity</stp>
        <stp>CHG_PCT_3M_RT</stp>
        <tr r="I318" s="2"/>
      </tp>
      <tp>
        <v>5.0697999999999999</v>
        <stp/>
        <stp>BDP|14606334465937188621|22</stp>
        <stp>MAS UN Equity</stp>
        <stp>CHG_PCT_3M_RT</stp>
        <tr r="I303" s="2"/>
      </tp>
      <tp>
        <v>0.95430000000000004</v>
        <stp/>
        <stp>BDP|15089982966617296542|22</stp>
        <stp>CVS UN Equity</stp>
        <stp>CHG_PCT_1M_RT</stp>
        <tr r="H128" s="2"/>
      </tp>
      <tp>
        <v>0.40799999999999997</v>
        <stp/>
        <stp>BDP|10243157985336585152|22</stp>
        <stp>SPG UN Equity</stp>
        <stp>REALTIME_5_DAY_CHANGE_PERCENT</stp>
        <tr r="G422" s="2"/>
      </tp>
      <tp>
        <v>-4.3982999999999999</v>
        <stp/>
        <stp>BDP|16607509951105155897|22</stp>
        <stp>TRV UN Equity</stp>
        <stp>REALTIME_5_DAY_CHANGE_PERCENT</stp>
        <tr r="G454" s="2"/>
      </tp>
      <tp>
        <v>-16.732600000000001</v>
        <stp/>
        <stp>BDP|11545617899065777421|22</stp>
        <stp>HUM UN Equity</stp>
        <stp>CHG_PCT_3M_RT</stp>
        <tr r="I240" s="2"/>
      </tp>
      <tp>
        <v>-7.7946999999999997</v>
        <stp/>
        <stp>BDP|15052800294354720669|22</stp>
        <stp>AEP UW Equity</stp>
        <stp>CHG_PCT_3M_RT</stp>
        <tr r="I18" s="2"/>
      </tp>
      <tp>
        <v>7.2072000000000003</v>
        <stp/>
        <stp>BDP|12855123334927085728|22</stp>
        <stp>BF/B UN Equity</stp>
        <stp>REALTIME_5_DAY_CHANGE_PERCENT</stp>
        <tr r="G62" s="2"/>
      </tp>
      <tp>
        <v>-3.7456</v>
        <stp/>
        <stp>BDP|13517639802276197225|22</stp>
        <stp>PPL UN Equity</stp>
        <stp>REALTIME_5_DAY_CHANGE_PERCENT</stp>
        <tr r="G388" s="2"/>
      </tp>
      <tp>
        <v>-11.551299999999999</v>
        <stp/>
        <stp>BDP|10772547811531842621|22</stp>
        <stp>TPL UN Equity</stp>
        <stp>REALTIME_5_DAY_CHANGE_PERCENT</stp>
        <tr r="G449" s="2"/>
      </tp>
      <tp>
        <v>-4.0548999999999999</v>
        <stp/>
        <stp>BDP|6904926422375772579|22</stp>
        <stp>EG UN Equity</stp>
        <stp>REALTIME_5_DAY_CHANGE_PERCENT</stp>
        <tr r="G161" s="2"/>
      </tp>
      <tp>
        <v>-4.2941000000000003</v>
        <stp/>
        <stp>BDP|8516954281329588115|22</stp>
        <stp>CL UN Equity</stp>
        <stp>REALTIME_5_DAY_CHANGE_PERCENT</stp>
        <tr r="G99" s="2"/>
      </tp>
      <tp>
        <v>-4.3426999999999998</v>
        <stp/>
        <stp>BDP|6571469499001338556|22</stp>
        <stp>CB UN Equity</stp>
        <stp>REALTIME_5_DAY_CHANGE_PERCENT</stp>
        <tr r="G83" s="2"/>
      </tp>
      <tp>
        <v>2.5703999996185303</v>
        <stp/>
        <stp>BDP|16471411050751258028|22</stp>
        <stp>CHRW UW Equity</stp>
        <stp>RT_PX_CHG_PCT_1D</stp>
        <tr r="F95" s="2"/>
      </tp>
      <tp>
        <v>15.606</v>
        <stp/>
        <stp>BDP|10621630634937252987|22</stp>
        <stp>SHSZ300 Index</stp>
        <stp>CHG_PCT_YTD_RT</stp>
        <tr r="J530" s="2"/>
      </tp>
      <tp>
        <v>1.072100043296814</v>
        <stp/>
        <stp>BDP|10275104480751944167|22</stp>
        <stp>OTIS UN Equity</stp>
        <stp>RT_PX_CHG_PCT_1D</stp>
        <tr r="F362" s="2"/>
      </tp>
      <tp>
        <v>-20.236599999999999</v>
        <stp/>
        <stp>BDP|11558623308535870209|22</stp>
        <stp>SWKS UW Equity</stp>
        <stp>CHG_PCT_YTD_RT</stp>
        <tr r="J432" s="2"/>
      </tp>
      <tp>
        <v>21.0472</v>
        <stp/>
        <stp>BDP|11489463020459472025|22</stp>
        <stp>CSCO UW Equity</stp>
        <stp>CHG_PCT_3M_RT</stp>
        <tr r="I120" s="2"/>
      </tp>
      <tp>
        <v>9.0350999999999999</v>
        <stp/>
        <stp>BDP|14888291749918400330|22</stp>
        <stp>CTRA UN Equity</stp>
        <stp>CHG_PCT_3M_RT</stp>
        <tr r="I125" s="2"/>
      </tp>
      <tp>
        <v>2.8706999999999998</v>
        <stp/>
        <stp>BDP|384966142604945387|22</stp>
        <stp>PSX UN Equity</stp>
        <stp>CHG_PCT_1M_RT</stp>
        <tr r="H391" s="2"/>
      </tp>
      <tp>
        <v>18.800999999999998</v>
        <stp/>
        <stp>BDP|380164321274615306|22</stp>
        <stp>SRE UN Equity</stp>
        <stp>CHG_PCT_YTD_RT</stp>
        <tr r="J424" s="2"/>
      </tp>
      <tp>
        <v>6.5336999999999996</v>
        <stp/>
        <stp>BDP|16987502538304355167|22</stp>
        <stp>AXON UW Equity</stp>
        <stp>CHG_PCT_1M_RT</stp>
        <tr r="H52" s="2"/>
      </tp>
      <tp>
        <v>-9.7380999999999993</v>
        <stp/>
        <stp>BDP|490726018995282190|22</stp>
        <stp>ZTS UN Equity</stp>
        <stp>CHG_PCT_YTD_RT</stp>
        <tr r="J507" s="2"/>
      </tp>
      <tp>
        <v>9.1428999999999991</v>
        <stp/>
        <stp>BDP|11045763156580804952|22</stp>
        <stp>PLTR UQ Equity</stp>
        <stp>REALTIME_5_DAY_CHANGE_PERCENT</stp>
        <tr r="G380" s="2"/>
      </tp>
      <tp>
        <v>15.0045</v>
        <stp/>
        <stp>BDP|16855365642899120146|22</stp>
        <stp>VTRS UW Equity</stp>
        <stp>CHG_PCT_3M_RT</stp>
        <tr r="I483" s="2"/>
      </tp>
      <tp>
        <v>-7.6700000000000004E-2</v>
        <stp/>
        <stp>BDP|12017940664507856335|22</stp>
        <stp>ROST UW Equity</stp>
        <stp>REALTIME_5_DAY_CHANGE_PERCENT</stp>
        <tr r="G407" s="2"/>
      </tp>
      <tp>
        <v>66.121600000000001</v>
        <stp/>
        <stp>BDP|17347932503756705043|22</stp>
        <stp>GEV UN Equity</stp>
        <stp>CHG_PCT_3M_RT</stp>
        <tr r="I208" s="2"/>
      </tp>
      <tp>
        <v>-9.6299999999999997E-2</v>
        <stp/>
        <stp>BDP|10229006975853475035|22</stp>
        <stp>EIX UN Equity</stp>
        <stp>CHG_PCT_1M_RT</stp>
        <tr r="H162" s="2"/>
      </tp>
      <tp>
        <v>22.3324</v>
        <stp/>
        <stp>BDP|16024149592690787300|22</stp>
        <stp>JCI UN Equity</stp>
        <stp>CHG_PCT_3M_RT</stp>
        <tr r="I263" s="2"/>
      </tp>
      <tp>
        <v>1.125</v>
        <stp/>
        <stp>BDP|15137013143484817334|22</stp>
        <stp>LOW UN Equity</stp>
        <stp>CHG_PCT_1M_RT</stp>
        <tr r="H292" s="2"/>
      </tp>
      <tp>
        <v>26.001100000000001</v>
        <stp/>
        <stp>BDP|12374192222530514930|22</stp>
        <stp>DLR UN Equity</stp>
        <stp>CHG_PCT_3M_RT</stp>
        <tr r="I144" s="2"/>
      </tp>
      <tp>
        <v>-12.321999999999999</v>
        <stp/>
        <stp>BDP|17827827131825616785|22</stp>
        <stp>GIS UN Equity</stp>
        <stp>CHG_PCT_3M_RT</stp>
        <tr r="I210" s="2"/>
      </tp>
      <tp>
        <v>-3.8069000000000002</v>
        <stp/>
        <stp>BDP|10401418371993462604|22</stp>
        <stp>LEN UN Equity</stp>
        <stp>CHG_PCT_1M_RT</stp>
        <tr r="H284" s="2"/>
      </tp>
      <tp>
        <v>6.5217000000000001</v>
        <stp/>
        <stp>BDP|14246649011343936304|22</stp>
        <stp>AZO UN Equity</stp>
        <stp>CHG_PCT_3M_RT</stp>
        <tr r="I54" s="2"/>
      </tp>
      <tp>
        <v>-9.7251999999999992</v>
        <stp/>
        <stp>BDP|13185281602140913952|22</stp>
        <stp>ARE UN Equity</stp>
        <stp>CHG_PCT_3M_RT</stp>
        <tr r="I46" s="2"/>
      </tp>
      <tp>
        <v>0.84530000000000005</v>
        <stp/>
        <stp>BDP|15405907729881542858|22</stp>
        <stp>MRK UN Equity</stp>
        <stp>CHG_PCT_1M_RT</stp>
        <tr r="H325" s="2"/>
      </tp>
      <tp>
        <v>14.026199999999999</v>
        <stp/>
        <stp>BDP|10240724503193295400|22</stp>
        <stp>LUV UN Equity</stp>
        <stp>CHG_PCT_3M_RT</stp>
        <tr r="I295" s="2"/>
      </tp>
      <tp>
        <v>-4.9583000000000004</v>
        <stp/>
        <stp>BDP|6548497798126983930|22</stp>
        <stp>PG UN Equity</stp>
        <stp>REALTIME_5_DAY_CHANGE_PERCENT</stp>
        <tr r="G374" s="2"/>
      </tp>
      <tp>
        <v>-1.8754999999999999</v>
        <stp/>
        <stp>BDP|4627983820885700673|22</stp>
        <stp>FE UN Equity</stp>
        <stp>REALTIME_5_DAY_CHANGE_PERCENT</stp>
        <tr r="G190" s="2"/>
      </tp>
      <tp>
        <v>-2.9247000000000001</v>
        <stp/>
        <stp>BDP|6229779901536521956|22</stp>
        <stp>DE UN Equity</stp>
        <stp>REALTIME_5_DAY_CHANGE_PERCENT</stp>
        <tr r="G135" s="2"/>
      </tp>
      <tp>
        <v>-1.4594000577926636</v>
        <stp/>
        <stp>BDP|167014936932573721|22</stp>
        <stp>PH UN Equity</stp>
        <stp>RT_PX_CHG_PCT_1D</stp>
        <tr r="F376" s="2"/>
      </tp>
      <tp t="s">
        <v>#N/A N/A</v>
        <stp/>
        <stp>BDP|2923710353319037808|22</stp>
        <stp>RTSI$ Index</stp>
        <stp>RT_PX_CHG_PCT_1D</stp>
        <tr r="F526" s="2"/>
      </tp>
      <tp>
        <v>-1.6496</v>
        <stp/>
        <stp>BDP|4650807168051891211|22</stp>
        <stp>KO UN Equity</stp>
        <stp>REALTIME_5_DAY_CHANGE_PERCENT</stp>
        <tr r="G279" s="2"/>
      </tp>
      <tp>
        <v>24.6661</v>
        <stp/>
        <stp>BDP|12724200182177506424|22</stp>
        <stp>CTVA UN Equity</stp>
        <stp>CHG_PCT_YTD_RT</stp>
        <tr r="J127" s="2"/>
      </tp>
      <tp>
        <v>45.172800000000002</v>
        <stp/>
        <stp>BDP|18341393757409940076|22</stp>
        <stp>BKNG UW Equity</stp>
        <stp>CHG_PCT_YTD_RT</stp>
        <tr r="J66" s="2"/>
      </tp>
      <tp>
        <v>36.884900000000002</v>
        <stp/>
        <stp>BDP|12596348657768967191|22</stp>
        <stp>GNRC UN Equity</stp>
        <stp>CHG_PCT_YTD_RT</stp>
        <tr r="J214" s="2"/>
      </tp>
      <tp>
        <v>7.7637</v>
        <stp/>
        <stp>BDP|13432281129413686709|22</stp>
        <stp>FANG UW Equity</stp>
        <stp>CHG_PCT_YTD_RT</stp>
        <tr r="J185" s="2"/>
      </tp>
      <tp>
        <v>-1.2605999999999999</v>
        <stp/>
        <stp>BDP|10543424722299359442|22</stp>
        <stp>INVH UN Equity</stp>
        <stp>CHG_PCT_YTD_RT</stp>
        <tr r="J250" s="2"/>
      </tp>
      <tp>
        <v>0.55229997634887695</v>
        <stp/>
        <stp>BDP|17754395020258142404|22</stp>
        <stp>MSFT UW Equity</stp>
        <stp>RT_PX_CHG_PCT_1D</stp>
        <tr r="F329" s="2"/>
      </tp>
      <tp>
        <v>8.8518000000000008</v>
        <stp/>
        <stp>BDP|480510378993663361|22</stp>
        <stp>XEL UW Equity</stp>
        <stp>CHG_PCT_3M_RT</stp>
        <tr r="I501" s="2"/>
      </tp>
      <tp>
        <v>12.4803</v>
        <stp/>
        <stp>BDP|11789451710945476512|22</stp>
        <stp>DXCM UW Equity</stp>
        <stp>CHG_PCT_3M_RT</stp>
        <tr r="I155" s="2"/>
      </tp>
      <tp>
        <v>3.4291</v>
        <stp/>
        <stp>BDP|566115146559231965|22</stp>
        <stp>RSG UN Equity</stp>
        <stp>CHG_PCT_3M_RT</stp>
        <tr r="I408" s="2"/>
      </tp>
      <tp>
        <v>-33.969799999999999</v>
        <stp/>
        <stp>BDP|16376404784980688417|22</stp>
        <stp>QRVO UW Equity</stp>
        <stp>CHG_PCT_3M_RT</stp>
        <tr r="I396" s="2"/>
      </tp>
      <tp>
        <v>4.9823000000000004</v>
        <stp/>
        <stp>BDP|18425030617277069664|22</stp>
        <stp>CTLT UN Equity</stp>
        <stp>CHG_PCT_1M_RT</stp>
        <tr r="H124" s="2"/>
      </tp>
      <tp>
        <v>20.202100000000002</v>
        <stp/>
        <stp>BDP|11502736110688506740|22</stp>
        <stp>TTWO UW Equity</stp>
        <stp>CHG_PCT_3M_RT</stp>
        <tr r="I459" s="2"/>
      </tp>
      <tp>
        <v>6.0777999999999999</v>
        <stp/>
        <stp>BDP|14383156619258574704|22</stp>
        <stp>ULTA UW Equity</stp>
        <stp>REALTIME_5_DAY_CHANGE_PERCENT</stp>
        <tr r="G467" s="2"/>
      </tp>
      <tp>
        <v>10.955500000000001</v>
        <stp/>
        <stp>BDP|564537173434323796|22</stp>
        <stp>TDY UN Equity</stp>
        <stp>CHG_PCT_3M_RT</stp>
        <tr r="I439" s="2"/>
      </tp>
      <tp>
        <v>4.0114999999999998</v>
        <stp/>
        <stp>BDP|17837804105294794800|22</stp>
        <stp>ADSK UW Equity</stp>
        <stp>REALTIME_5_DAY_CHANGE_PERCENT</stp>
        <tr r="G16" s="2"/>
      </tp>
      <tp>
        <v>-4.1378000000000004</v>
        <stp/>
        <stp>BDP|16674780440305857180|22</stp>
        <stp>AON UN Equity</stp>
        <stp>CHG_PCT_1M_RT</stp>
        <tr r="H40" s="2"/>
      </tp>
      <tp>
        <v>-0.82720000000000005</v>
        <stp/>
        <stp>BDP|12644854851413391660|22</stp>
        <stp>JCI UN Equity</stp>
        <stp>CHG_PCT_1M_RT</stp>
        <tr r="H263" s="2"/>
      </tp>
      <tp>
        <v>9.8599999999999993E-2</v>
        <stp/>
        <stp>BDP|16217513592782497742|22</stp>
        <stp>KKR UN Equity</stp>
        <stp>CHG_PCT_1M_RT</stp>
        <tr r="H274" s="2"/>
      </tp>
      <tp>
        <v>-9.4178999999999995</v>
        <stp/>
        <stp>BDP|17086028483227878107|22</stp>
        <stp>NOC UN Equity</stp>
        <stp>CHG_PCT_1M_RT</stp>
        <tr r="H343" s="2"/>
      </tp>
      <tp>
        <v>11.3919</v>
        <stp/>
        <stp>BDP|12443884194903252286|22</stp>
        <stp>FDS UN Equity</stp>
        <stp>CHG_PCT_3M_RT</stp>
        <tr r="I188" s="2"/>
      </tp>
      <tp>
        <v>-7.9935999999999998</v>
        <stp/>
        <stp>BDP|14293196499189387104|22</stp>
        <stp>NEE UN Equity</stp>
        <stp>CHG_PCT_3M_RT</stp>
        <tr r="I338" s="2"/>
      </tp>
      <tp>
        <v>1.8332999999999999</v>
        <stp/>
        <stp>BDP|12066529440521295390|22</stp>
        <stp>CZR UW Equity</stp>
        <stp>CHG_PCT_3M_RT</stp>
        <tr r="I130" s="2"/>
      </tp>
      <tp>
        <v>-11.5444</v>
        <stp/>
        <stp>BDP|14510951644584949039|22</stp>
        <stp>AMD UW Equity</stp>
        <stp>CHG_PCT_1M_RT</stp>
        <tr r="H31" s="2"/>
      </tp>
      <tp>
        <v>17.956299999999999</v>
        <stp/>
        <stp>BDP|14830363402928816003|22</stp>
        <stp>FOX UW Equity</stp>
        <stp>CHG_PCT_3M_RT</stp>
        <tr r="I197" s="2"/>
      </tp>
      <tp>
        <v>-0.50080000000000002</v>
        <stp/>
        <stp>BDP|11071203579189067753|22</stp>
        <stp>MPC UN Equity</stp>
        <stp>CHG_PCT_1M_RT</stp>
        <tr r="H323" s="2"/>
      </tp>
      <tp>
        <v>-6.3925000000000001</v>
        <stp/>
        <stp>BDP|17441986741884979976|22</stp>
        <stp>ARE UN Equity</stp>
        <stp>CHG_PCT_1M_RT</stp>
        <tr r="H46" s="2"/>
      </tp>
      <tp>
        <v>-7.4438000000000004</v>
        <stp/>
        <stp>BDP|14242492869710370589|22</stp>
        <stp>MTD UN Equity</stp>
        <stp>CHG_PCT_3M_RT</stp>
        <tr r="I333" s="2"/>
      </tp>
      <tp>
        <v>-10.4719</v>
        <stp/>
        <stp>BDP|12787198720531004579|22</stp>
        <stp>AWK UN Equity</stp>
        <stp>CHG_PCT_3M_RT</stp>
        <tr r="I51" s="2"/>
      </tp>
      <tp>
        <v>686</v>
        <stp/>
        <stp>BDP|2485037267501588676|22</stp>
        <stp>PH UN Equity</stp>
        <stp>LAST_PRICE</stp>
        <tr r="C376" s="2"/>
        <tr r="D376" s="2"/>
        <tr r="E376" s="2"/>
        <tr r="B376" s="2"/>
      </tp>
      <tp>
        <v>-0.2903</v>
        <stp/>
        <stp>BDP|9976128093678567656|22</stp>
        <stp>BR UN Equity</stp>
        <stp>REALTIME_5_DAY_CHANGE_PERCENT</stp>
        <tr r="G71" s="2"/>
      </tp>
      <tp>
        <v>11.1388</v>
        <stp/>
        <stp>BDP|11837389776493702304|22</stp>
        <stp>QCOM UW Equity</stp>
        <stp>CHG_PCT_YTD_RT</stp>
        <tr r="J395" s="2"/>
      </tp>
      <tp>
        <v>0.45809999108314514</v>
        <stp/>
        <stp>BDP|13212687402014705996|22</stp>
        <stp>ODFL UW Equity</stp>
        <stp>RT_PX_CHG_PCT_1D</stp>
        <tr r="F356" s="2"/>
      </tp>
      <tp>
        <v>1.6101000308990479</v>
        <stp/>
        <stp>BDP|12736315841844286092|22</stp>
        <stp>AAPL UW Equity</stp>
        <stp>RT_PX_CHG_PCT_1D</stp>
        <tr r="F6" s="2"/>
      </tp>
      <tp>
        <v>-0.42789998650550842</v>
        <stp/>
        <stp>BDP|14800875001978819701|22</stp>
        <stp>CBRE UN Equity</stp>
        <stp>RT_PX_CHG_PCT_1D</stp>
        <tr r="F85" s="2"/>
      </tp>
      <tp>
        <v>2.9918999671936035</v>
        <stp/>
        <stp>BDP|12138393926233279164|22</stp>
        <stp>FSLR UW Equity</stp>
        <stp>RT_PX_CHG_PCT_1D</stp>
        <tr r="F200" s="2"/>
      </tp>
      <tp>
        <v>-3.2955000400543213</v>
        <stp/>
        <stp>BDP|14818039576511192617|22</stp>
        <stp>CRWD UW Equity</stp>
        <stp>RT_PX_CHG_PCT_1D</stp>
        <tr r="F119" s="2"/>
      </tp>
      <tp>
        <v>-2.0984001159667969</v>
        <stp/>
        <stp>BDP|11806415007228620983|22</stp>
        <stp>ISRG UW Equity</stp>
        <stp>RT_PX_CHG_PCT_1D</stp>
        <tr r="F256" s="2"/>
      </tp>
      <tp>
        <v>13.107699999999999</v>
        <stp/>
        <stp>BDP|411333330535886883|22</stp>
        <stp>XYL UN Equity</stp>
        <stp>CHG_PCT_YTD_RT</stp>
        <tr r="J503" s="2"/>
      </tp>
      <tp>
        <v>-9.3040000000000003</v>
        <stp/>
        <stp>BDP|16165732427443407058|22</stp>
        <stp>ODFL UW Equity</stp>
        <stp>REALTIME_5_DAY_CHANGE_PERCENT</stp>
        <tr r="G356" s="2"/>
      </tp>
      <tp>
        <v>2.2924000000000002</v>
        <stp/>
        <stp>BDP|14556671251570230527|22</stp>
        <stp>FFIV UW Equity</stp>
        <stp>REALTIME_5_DAY_CHANGE_PERCENT</stp>
        <tr r="G191" s="2"/>
      </tp>
      <tp>
        <v>17.6708</v>
        <stp/>
        <stp>BDP|10463310386605177189|22</stp>
        <stp>CPAY UN Equity</stp>
        <stp>CHG_PCT_3M_RT</stp>
        <tr r="I113" s="2"/>
      </tp>
      <tp>
        <v>-10.149699999999999</v>
        <stp/>
        <stp>BDP|11012256598617593707|22</stp>
        <stp>SNPS UW Equity</stp>
        <stp>REALTIME_5_DAY_CHANGE_PERCENT</stp>
        <tr r="G419" s="2"/>
      </tp>
      <tp>
        <v>-3.6372</v>
        <stp/>
        <stp>BDP|16826380804887642926|22</stp>
        <stp>CCI UN Equity</stp>
        <stp>CHG_PCT_1M_RT</stp>
        <tr r="H86" s="2"/>
      </tp>
      <tp>
        <v>-0.71740000000000004</v>
        <stp/>
        <stp>BDP|12011821959333581788|22</stp>
        <stp>MAA UN Equity</stp>
        <stp>CHG_PCT_3M_RT</stp>
        <tr r="I301" s="2"/>
      </tp>
      <tp>
        <v>1.3736999999999999</v>
        <stp/>
        <stp>BDP|14681367002395760497|22</stp>
        <stp>TMO UN Equity</stp>
        <stp>REALTIME_5_DAY_CHANGE_PERCENT</stp>
        <tr r="G447" s="2"/>
      </tp>
      <tp>
        <v>0.2137</v>
        <stp/>
        <stp>BDP|15265814858241052703|22</stp>
        <stp>LHX UN Equity</stp>
        <stp>CHG_PCT_3M_RT</stp>
        <tr r="I286" s="2"/>
      </tp>
      <tp>
        <v>2.3327</v>
        <stp/>
        <stp>BDP|124296536225137578|22</stp>
        <stp>CCMP Index</stp>
        <stp>CHG_PCT_1M_RT</stp>
        <tr r="H508" s="2"/>
      </tp>
      <tp>
        <v>-0.51319999999999999</v>
        <stp/>
        <stp>BDP|10892348036755308314|22</stp>
        <stp>HAL UN Equity</stp>
        <stp>CHG_PCT_1M_RT</stp>
        <tr r="H222" s="2"/>
      </tp>
      <tp>
        <v>0.80279999999999996</v>
        <stp/>
        <stp>BDP|16041249624357738379|22</stp>
        <stp>MCD UN Equity</stp>
        <stp>CHG_PCT_1M_RT</stp>
        <tr r="H304" s="2"/>
      </tp>
      <tp>
        <v>-2.1777000000000002</v>
        <stp/>
        <stp>BDP|14861375469473884853|22</stp>
        <stp>ATO UN Equity</stp>
        <stp>CHG_PCT_1M_RT</stp>
        <tr r="H47" s="2"/>
      </tp>
      <tp>
        <v>6.1726999999999999</v>
        <stp/>
        <stp>BDP|13793981783535617831|22</stp>
        <stp>GPN UN Equity</stp>
        <stp>CHG_PCT_3M_RT</stp>
        <tr r="I218" s="2"/>
      </tp>
      <tp>
        <v>5.2050000000000001</v>
        <stp/>
        <stp>BDP|12554275421554716855|22</stp>
        <stp>DVA UN Equity</stp>
        <stp>CHG_PCT_3M_RT</stp>
        <tr r="I153" s="2"/>
      </tp>
      <tp>
        <v>8.7999999999999995E-2</v>
        <stp/>
        <stp>BDP|17099832035735955705|22</stp>
        <stp>HWM UN Equity</stp>
        <stp>CHG_PCT_1M_RT</stp>
        <tr r="H241" s="2"/>
      </tp>
      <tp>
        <v>5.4184999999999999</v>
        <stp/>
        <stp>BDP|10819124876750132817|22</stp>
        <stp>ATO UN Equity</stp>
        <stp>CHG_PCT_3M_RT</stp>
        <tr r="I47" s="2"/>
      </tp>
      <tp>
        <v>-1.2099</v>
        <stp/>
        <stp>BDP|17414685126164970897|22</stp>
        <stp>DUK UN Equity</stp>
        <stp>CHG_PCT_1M_RT</stp>
        <tr r="H152" s="2"/>
      </tp>
      <tp>
        <v>-3.6848000000000001</v>
        <stp/>
        <stp>BDP|13693338969395626360|22</stp>
        <stp>BKR UW Equity</stp>
        <stp>CHG_PCT_1M_RT</stp>
        <tr r="H67" s="2"/>
      </tp>
      <tp>
        <v>67.680000000000007</v>
        <stp/>
        <stp>BDP|6656653884330985527|22</stp>
        <stp>ON UW Equity</stp>
        <stp>LAST_PRICE</stp>
        <tr r="D359" s="2"/>
        <tr r="E359" s="2"/>
        <tr r="B359" s="2"/>
        <tr r="C359" s="2"/>
      </tp>
      <tp>
        <v>0.62889999151229858</v>
        <stp/>
        <stp>BDP|833697638885353749|22</stp>
        <stp>VTRS UW Equity</stp>
        <stp>RT_PX_CHG_PCT_1D</stp>
        <tr r="F483" s="2"/>
      </tp>
      <tp>
        <v>-1.9240999999999999</v>
        <stp/>
        <stp>BDP|5333313555826155935|22</stp>
        <stp>LH UN Equity</stp>
        <stp>REALTIME_5_DAY_CHANGE_PERCENT</stp>
        <tr r="G285" s="2"/>
      </tp>
      <tp>
        <v>-3.9567999999999999</v>
        <stp/>
        <stp>BDP|5411491972989216630|22</stp>
        <stp>KR UN Equity</stp>
        <stp>REALTIME_5_DAY_CHANGE_PERCENT</stp>
        <tr r="G280" s="2"/>
      </tp>
      <tp>
        <v>-36.811999999999998</v>
        <stp/>
        <stp>BDP|13222522795506995007|22</stp>
        <stp>DXCM UW Equity</stp>
        <stp>CHG_PCT_YTD_RT</stp>
        <tr r="J155" s="2"/>
      </tp>
      <tp>
        <v>2.38919997215271</v>
        <stp/>
        <stp>BDP|15884039361978589579|22</stp>
        <stp>EBAY UW Equity</stp>
        <stp>RT_PX_CHG_PCT_1D</stp>
        <tr r="F157" s="2"/>
      </tp>
      <tp>
        <v>-2.9464000000000001</v>
        <stp/>
        <stp>BDP|3071615290070611531|22</stp>
        <stp>FBMKLCI Index</stp>
        <stp>CHG_PCT_3M_RT</stp>
        <tr r="I536" s="2"/>
      </tp>
      <tp>
        <v>-2.2590000629425049</v>
        <stp/>
        <stp>BDP|11544008432835442309|22</stp>
        <stp>MDLZ UW Equity</stp>
        <stp>RT_PX_CHG_PCT_1D</stp>
        <tr r="F308" s="2"/>
      </tp>
      <tp>
        <v>-0.77829998731613159</v>
        <stp/>
        <stp>BDP|15571123243896683357|22</stp>
        <stp>EVRG UW Equity</stp>
        <stp>RT_PX_CHG_PCT_1D</stp>
        <tr r="F178" s="2"/>
      </tp>
      <tp>
        <v>10.0448</v>
        <stp/>
        <stp>BDP|11691591992958768882|22</stp>
        <stp>RVTY UN Equity</stp>
        <stp>CHG_PCT_YTD_RT</stp>
        <tr r="J410" s="2"/>
      </tp>
      <tp>
        <v>-2.6101000000000001</v>
        <stp/>
        <stp>BDP|12890942791577352847|22</stp>
        <stp>FSLR UW Equity</stp>
        <stp>CHG_PCT_3M_RT</stp>
        <tr r="I200" s="2"/>
      </tp>
      <tp>
        <v>1.1391</v>
        <stp/>
        <stp>BDP|14288940370259264982|22</stp>
        <stp>CTRA UN Equity</stp>
        <stp>CHG_PCT_1M_RT</stp>
        <tr r="H125" s="2"/>
      </tp>
      <tp>
        <v>1.7766999999999999</v>
        <stp/>
        <stp>BDP|12948289845661025677|22</stp>
        <stp>NFLX UW Equity</stp>
        <stp>REALTIME_5_DAY_CHANGE_PERCENT</stp>
        <tr r="G340" s="2"/>
      </tp>
      <tp>
        <v>-3.4239999999999999</v>
        <stp/>
        <stp>BDP|11293588420666543642|22</stp>
        <stp>ACGL UW Equity</stp>
        <stp>REALTIME_5_DAY_CHANGE_PERCENT</stp>
        <tr r="G10" s="2"/>
      </tp>
      <tp>
        <v>-0.95909999999999995</v>
        <stp/>
        <stp>BDP|18202591214941892198|22</stp>
        <stp>LRCX UW Equity</stp>
        <stp>CHG_PCT_1M_RT</stp>
        <tr r="H293" s="2"/>
      </tp>
      <tp>
        <v>37.378</v>
        <stp/>
        <stp>BDP|13580785921322398880|22</stp>
        <stp>TRMB UW Equity</stp>
        <stp>CHG_PCT_3M_RT</stp>
        <tr r="I452" s="2"/>
      </tp>
      <tp>
        <v>-6.5190999999999999</v>
        <stp/>
        <stp>BDP|16174047089335183344|22</stp>
        <stp>TMUS UW Equity</stp>
        <stp>REALTIME_5_DAY_CHANGE_PERCENT</stp>
        <tr r="G448" s="2"/>
      </tp>
      <tp>
        <v>-4.6388999999999996</v>
        <stp/>
        <stp>BDP|17051138861031766480|22</stp>
        <stp>DHI UN Equity</stp>
        <stp>CHG_PCT_1M_RT</stp>
        <tr r="H141" s="2"/>
      </tp>
      <tp>
        <v>1.1166</v>
        <stp/>
        <stp>BDP|10927174813869800767|22</stp>
        <stp>ACN UN Equity</stp>
        <stp>CHG_PCT_1M_RT</stp>
        <tr r="H11" s="2"/>
      </tp>
      <tp>
        <v>-27.222899999999999</v>
        <stp/>
        <stp>BDP|15676501262205829638|22</stp>
        <stp>ELV UN Equity</stp>
        <stp>CHG_PCT_3M_RT</stp>
        <tr r="I164" s="2"/>
      </tp>
      <tp>
        <v>-13.8508</v>
        <stp/>
        <stp>BDP|17524219745842296558|22</stp>
        <stp>IFF UN Equity</stp>
        <stp>CHG_PCT_3M_RT</stp>
        <tr r="I246" s="2"/>
      </tp>
      <tp>
        <v>-3.7755999999999998</v>
        <stp/>
        <stp>BDP|10619053197527188181|22</stp>
        <stp>JNJ UN Equity</stp>
        <stp>CHG_PCT_1M_RT</stp>
        <tr r="H265" s="2"/>
      </tp>
      <tp>
        <v>-18.812100000000001</v>
        <stp/>
        <stp>BDP|16285979459838478278|22</stp>
        <stp>BAX UN Equity</stp>
        <stp>CHG_PCT_3M_RT</stp>
        <tr r="I58" s="2"/>
      </tp>
      <tp>
        <v>-13.221</v>
        <stp/>
        <stp>BDP|12774084254340309750|22</stp>
        <stp>CCI UN Equity</stp>
        <stp>CHG_PCT_3M_RT</stp>
        <tr r="I86" s="2"/>
      </tp>
      <tp>
        <v>3.1711</v>
        <stp/>
        <stp>BDP|14298290336503822260|22</stp>
        <stp>AXP UN Equity</stp>
        <stp>CHG_PCT_1M_RT</stp>
        <tr r="H53" s="2"/>
      </tp>
      <tp>
        <v>0.38929999999999998</v>
        <stp/>
        <stp>BDP|13504901912124672409|22</stp>
        <stp>ETR UN Equity</stp>
        <stp>CHG_PCT_1M_RT</stp>
        <tr r="H177" s="2"/>
      </tp>
      <tp>
        <v>-2.4704000000000002</v>
        <stp/>
        <stp>BDP|10511647295933813610|22</stp>
        <stp>PSA UN Equity</stp>
        <stp>REALTIME_5_DAY_CHANGE_PERCENT</stp>
        <tr r="G390" s="2"/>
      </tp>
      <tp>
        <v>-1.4573</v>
        <stp/>
        <stp>BDP|18425432230074646927|22</stp>
        <stp>UAL UW Equity</stp>
        <stp>REALTIME_5_DAY_CHANGE_PERCENT</stp>
        <tr r="G463" s="2"/>
      </tp>
      <tp>
        <v>-5.0911999999999997</v>
        <stp/>
        <stp>BDP|18026991415939464111|22</stp>
        <stp>MSI UN Equity</stp>
        <stp>CHG_PCT_1M_RT</stp>
        <tr r="H330" s="2"/>
      </tp>
      <tp>
        <v>-4.4858000000000002</v>
        <stp/>
        <stp>BDP|15866058338739367977|22</stp>
        <stp>IRM UN Equity</stp>
        <stp>CHG_PCT_1M_RT</stp>
        <tr r="H255" s="2"/>
      </tp>
      <tp>
        <v>-2.4468999999999999</v>
        <stp/>
        <stp>BDP|15565475635774285291|22</stp>
        <stp>IPG UN Equity</stp>
        <stp>CHG_PCT_3M_RT</stp>
        <tr r="I252" s="2"/>
      </tp>
      <tp>
        <v>4.3186999999999998</v>
        <stp/>
        <stp>BDP|10644611941041673293|22</stp>
        <stp>BWA UN Equity</stp>
        <stp>CHG_PCT_3M_RT</stp>
        <tr r="I75" s="2"/>
      </tp>
      <tp>
        <v>7.2225999999999999</v>
        <stp/>
        <stp>BDP|11947556669587152725|22</stp>
        <stp>CRL UN Equity</stp>
        <stp>CHG_PCT_3M_RT</stp>
        <tr r="I117" s="2"/>
      </tp>
      <tp>
        <v>-3.1703000000000001</v>
        <stp/>
        <stp>BDP|9412787335771634655|22</stp>
        <stp>TT UN Equity</stp>
        <stp>REALTIME_5_DAY_CHANGE_PERCENT</stp>
        <tr r="G458" s="2"/>
      </tp>
      <tp>
        <v>-3.8256999999999999</v>
        <stp/>
        <stp>BDP|16145674466512161174|22</stp>
        <stp>KOSPI Index</stp>
        <stp>REALTIME_5_DAY_CHANGE_PERCENT</stp>
        <tr r="G532" s="2"/>
      </tp>
      <tp>
        <v>-1.2614000000000001</v>
        <stp/>
        <stp>BDP|8050330680285112051|22</stp>
        <stp>GS UN Equity</stp>
        <stp>REALTIME_5_DAY_CHANGE_PERCENT</stp>
        <tr r="G220" s="2"/>
      </tp>
      <tp>
        <v>-0.90069997310638428</v>
        <stp/>
        <stp>BDP|14585746696573701222|22</stp>
        <stp>FAST UW Equity</stp>
        <stp>RT_PX_CHG_PCT_1D</stp>
        <tr r="F186" s="2"/>
      </tp>
      <tp>
        <v>-11.994999999999999</v>
        <stp/>
        <stp>BDP|13959241815351198182|22</stp>
        <stp>SBAC UW Equity</stp>
        <stp>CHG_PCT_YTD_RT</stp>
        <tr r="J411" s="2"/>
      </tp>
      <tp>
        <v>-0.60509999999999997</v>
        <stp/>
        <stp>BDP|3823251404294704084|22</stp>
        <stp>FBMKLCI Index</stp>
        <stp>CHG_PCT_1M_RT</stp>
        <tr r="H536" s="2"/>
      </tp>
      <tp>
        <v>-1.5694999694824219</v>
        <stp/>
        <stp>BDP|12623320707263882959|22</stp>
        <stp>CSCO UW Equity</stp>
        <stp>RT_PX_CHG_PCT_1D</stp>
        <tr r="F120" s="2"/>
      </tp>
      <tp>
        <v>31.8977</v>
        <stp/>
        <stp>BDP|14778875908171208141|22</stp>
        <stp>PANW UW Equity</stp>
        <stp>CHG_PCT_YTD_RT</stp>
        <tr r="J364" s="2"/>
      </tp>
      <tp>
        <v>25.9498</v>
        <stp/>
        <stp>BDP|10361858569935159373|22</stp>
        <stp>JNPR UN Equity</stp>
        <stp>CHG_PCT_YTD_RT</stp>
        <tr r="J266" s="2"/>
      </tp>
      <tp>
        <v>17.593399999999999</v>
        <stp/>
        <stp>BDP|17436951115938542806|22</stp>
        <stp>PCAR UW Equity</stp>
        <stp>CHG_PCT_YTD_RT</stp>
        <tr r="J368" s="2"/>
      </tp>
      <tp>
        <v>37.082900000000002</v>
        <stp/>
        <stp>BDP|10298435684187077143|22</stp>
        <stp>NDAQ UW Equity</stp>
        <stp>CHG_PCT_YTD_RT</stp>
        <tr r="J336" s="2"/>
      </tp>
      <tp>
        <v>-7.3272000000000004</v>
        <stp/>
        <stp>BDP|10436059043277093669|22</stp>
        <stp>MTCH UW Equity</stp>
        <stp>CHG_PCT_3M_RT</stp>
        <tr r="I332" s="2"/>
      </tp>
      <tp>
        <v>4.7550999999999997</v>
        <stp/>
        <stp>BDP|786908855183249966|22</stp>
        <stp>SYY UN Equity</stp>
        <stp>CHG_PCT_1M_RT</stp>
        <tr r="H435" s="2"/>
      </tp>
      <tp>
        <v>5.4324000000000003</v>
        <stp/>
        <stp>BDP|14598112963162866426|22</stp>
        <stp>FTNT UW Equity</stp>
        <stp>CHG_PCT_1M_RT</stp>
        <tr r="H201" s="2"/>
      </tp>
      <tp>
        <v>-12.004</v>
        <stp/>
        <stp>BDP|15122614392841286287|22</stp>
        <stp>MCHP UW Equity</stp>
        <stp>REALTIME_5_DAY_CHANGE_PERCENT</stp>
        <tr r="G305" s="2"/>
      </tp>
      <tp>
        <v>5.4732000000000003</v>
        <stp/>
        <stp>BDP|10128711470553449063|22</stp>
        <stp>LRCX UW Equity</stp>
        <stp>CHG_PCT_3M_RT</stp>
        <tr r="I293" s="2"/>
      </tp>
      <tp>
        <v>0.59760000000000002</v>
        <stp/>
        <stp>BDP|173487997971893794|22</stp>
        <stp>IPG UN Equity</stp>
        <stp>REALTIME_5_DAY_CHANGE_PERCENT</stp>
        <tr r="G252" s="2"/>
      </tp>
      <tp>
        <v>-0.46100000000000002</v>
        <stp/>
        <stp>BDP|11679574103335285619|22</stp>
        <stp>AMTM UN Equity</stp>
        <stp>REALTIME_5_DAY_CHANGE_PERCENT</stp>
        <tr r="G36" s="2"/>
      </tp>
      <tp>
        <v>-1.4202999999999999</v>
        <stp/>
        <stp>BDP|17754373975998463433|22</stp>
        <stp>GEHC UW Equity</stp>
        <stp>REALTIME_5_DAY_CHANGE_PERCENT</stp>
        <tr r="G206" s="2"/>
      </tp>
      <tp>
        <v>-2.3273999999999999</v>
        <stp/>
        <stp>BDP|13956825107755162055|22</stp>
        <stp>LDOS UN Equity</stp>
        <stp>REALTIME_5_DAY_CHANGE_PERCENT</stp>
        <tr r="G283" s="2"/>
      </tp>
      <tp>
        <v>-1.2345999999999999</v>
        <stp/>
        <stp>BDP|15413636337380711592|22</stp>
        <stp>VTRS UW Equity</stp>
        <stp>CHG_PCT_1M_RT</stp>
        <tr r="H483" s="2"/>
      </tp>
      <tp>
        <v>-3.2193999999999998</v>
        <stp/>
        <stp>BDP|13024052564513923230|22</stp>
        <stp>MNST UW Equity</stp>
        <stp>REALTIME_5_DAY_CHANGE_PERCENT</stp>
        <tr r="G319" s="2"/>
      </tp>
      <tp>
        <v>7.5140000000000002</v>
        <stp/>
        <stp>BDP|12071089019501823762|22</stp>
        <stp>KIM UN Equity</stp>
        <stp>CHG_PCT_3M_RT</stp>
        <tr r="I273" s="2"/>
      </tp>
      <tp>
        <v>0.68320000000000003</v>
        <stp/>
        <stp>BDP|12879361509174200559|22</stp>
        <stp>BLK UN Equity</stp>
        <stp>CHG_PCT_1M_RT</stp>
        <tr r="H69" s="2"/>
      </tp>
      <tp>
        <v>-11.5441</v>
        <stp/>
        <stp>BDP|11875552535004505461|22</stp>
        <stp>LMT UN Equity</stp>
        <stp>CHG_PCT_3M_RT</stp>
        <tr r="I290" s="2"/>
      </tp>
      <tp>
        <v>-4.6573000000000002</v>
        <stp/>
        <stp>BDP|17837431281088040963|22</stp>
        <stp>DOC UN Equity</stp>
        <stp>CHG_PCT_1M_RT</stp>
        <tr r="H146" s="2"/>
      </tp>
      <tp>
        <v>1.982</v>
        <stp/>
        <stp>BDP|14335332855152965160|22</stp>
        <stp>DAL UN Equity</stp>
        <stp>CHG_PCT_1M_RT</stp>
        <tr r="H132" s="2"/>
      </tp>
      <tp>
        <v>16.190999999999999</v>
        <stp/>
        <stp>BDP|17356890478232455878|22</stp>
        <stp>MCK UN Equity</stp>
        <stp>CHG_PCT_3M_RT</stp>
        <tr r="I306" s="2"/>
      </tp>
      <tp>
        <v>-3.7414000000000001</v>
        <stp/>
        <stp>BDP|10549264085199306404|22</stp>
        <stp>TFX UN Equity</stp>
        <stp>REALTIME_5_DAY_CHANGE_PERCENT</stp>
        <tr r="G444" s="2"/>
      </tp>
      <tp>
        <v>0</v>
        <stp/>
        <stp>BDP|10077752262357538180|22</stp>
        <stp>AES UN Equity</stp>
        <stp>CHG_PCT_1M_RT</stp>
        <tr r="H19" s="2"/>
      </tp>
      <tp>
        <v>-2.3529</v>
        <stp/>
        <stp>BDP|11541141715787156413|22</stp>
        <stp>ADP UW Equity</stp>
        <stp>CHG_PCT_1M_RT</stp>
        <tr r="H15" s="2"/>
      </tp>
      <tp>
        <v>12.4533</v>
        <stp/>
        <stp>BDP|17216808110255551123|22</stp>
        <stp>JPM UN Equity</stp>
        <stp>CHG_PCT_3M_RT</stp>
        <tr r="I267" s="2"/>
      </tp>
      <tp>
        <v>-0.43290000000000001</v>
        <stp/>
        <stp>BDP|12389268659764364483|22</stp>
        <stp>DPZ UN Equity</stp>
        <stp>CHG_PCT_1M_RT</stp>
        <tr r="H149" s="2"/>
      </tp>
      <tp>
        <v>0</v>
        <stp/>
        <stp>BDP|16862589775796789849|22</stp>
        <stp>WBD UW Equity</stp>
        <stp>REALTIME_5_DAY_CHANGE_PERCENT</stp>
        <tr r="G488" s="2"/>
      </tp>
      <tp>
        <v>-7.8251999999999997</v>
        <stp/>
        <stp>BDP|11597968888781089370|22</stp>
        <stp>GPC UN Equity</stp>
        <stp>CHG_PCT_3M_RT</stp>
        <tr r="I217" s="2"/>
      </tp>
      <tp>
        <v>-1.7630999999999999</v>
        <stp/>
        <stp>BDP|7369298368470659169|22</stp>
        <stp>PM UN Equity</stp>
        <stp>REALTIME_5_DAY_CHANGE_PERCENT</stp>
        <tr r="G381" s="2"/>
      </tp>
      <tp t="s">
        <v>#N/A N/A</v>
        <stp/>
        <stp>BDP|13876631069960620230|22</stp>
        <stp>RTSI$ Index</stp>
        <stp>REALTIME_5_DAY_CHANGE_PERCENT</stp>
        <tr r="G526" s="2"/>
      </tp>
      <tp>
        <v>401.64</v>
        <stp/>
        <stp>BDP|9639247778031969182|22</stp>
        <stp>TT UN Equity</stp>
        <stp>LAST_PRICE</stp>
        <tr r="B458" s="2"/>
        <tr r="C458" s="2"/>
        <tr r="D458" s="2"/>
        <tr r="E458" s="2"/>
      </tp>
      <tp>
        <v>0.40490001440048218</v>
        <stp/>
        <stp>BDP|13178648491010551068|22</stp>
        <stp>NDSN UW Equity</stp>
        <stp>RT_PX_CHG_PCT_1D</stp>
        <tr r="F337" s="2"/>
      </tp>
      <tp>
        <v>48.511499999999998</v>
        <stp/>
        <stp>BDP|15927906864885191533|22</stp>
        <stp>CINF UW Equity</stp>
        <stp>CHG_PCT_YTD_RT</stp>
        <tr r="J98" s="2"/>
      </tp>
      <tp>
        <v>-1.1715999841690063</v>
        <stp/>
        <stp>BDP|17665261712251466648|22</stp>
        <stp>CBOE UF Equity</stp>
        <stp>RT_PX_CHG_PCT_1D</stp>
        <tr r="F84" s="2"/>
      </tp>
      <tp>
        <v>40.244399999999999</v>
        <stp/>
        <stp>BDP|15938504666778634259|22</stp>
        <stp>TRMB UW Equity</stp>
        <stp>CHG_PCT_YTD_RT</stp>
        <tr r="J452" s="2"/>
      </tp>
      <tp>
        <v>0.42019999027252197</v>
        <stp/>
        <stp>BDP|17742530167057457888|22</stp>
        <stp>CTVA UN Equity</stp>
        <stp>RT_PX_CHG_PCT_1D</stp>
        <tr r="F127" s="2"/>
      </tp>
      <tp>
        <v>27.415099999999999</v>
        <stp/>
        <stp>BDP|13354563044397980324|22</stp>
        <stp>CARR UN Equity</stp>
        <stp>CHG_PCT_YTD_RT</stp>
        <tr r="J81" s="2"/>
      </tp>
      <tp>
        <v>15.2721</v>
        <stp/>
        <stp>BDP|952194986012098505|22</stp>
        <stp>DUK UN Equity</stp>
        <stp>CHG_PCT_YTD_RT</stp>
        <tr r="J152" s="2"/>
      </tp>
      <tp>
        <v>3.13</v>
        <stp/>
        <stp>BDP|11877091063212752693|22</stp>
        <stp>FSLR UW Equity</stp>
        <stp>CHG_PCT_1M_RT</stp>
        <tr r="H200" s="2"/>
      </tp>
      <tp>
        <v>8.9023000000000003</v>
        <stp/>
        <stp>BDP|128831774225363369|22</stp>
        <stp>HSY UN Equity</stp>
        <stp>REALTIME_5_DAY_CHANGE_PERCENT</stp>
        <tr r="G238" s="2"/>
      </tp>
      <tp>
        <v>-2.5198</v>
        <stp/>
        <stp>BDP|17869915184637665387|22</stp>
        <stp>MRNA UW Equity</stp>
        <stp>CHG_PCT_1M_RT</stp>
        <tr r="H326" s="2"/>
      </tp>
      <tp>
        <v>-1.5425</v>
        <stp/>
        <stp>BDP|14716779649648206785|22</stp>
        <stp>EXPD UN Equity</stp>
        <stp>CHG_PCT_3M_RT</stp>
        <tr r="I181" s="2"/>
      </tp>
      <tp>
        <v>-2.6892</v>
        <stp/>
        <stp>BDP|297668420364192243|22</stp>
        <stp>ARE UN Equity</stp>
        <stp>REALTIME_5_DAY_CHANGE_PERCENT</stp>
        <tr r="G46" s="2"/>
      </tp>
      <tp>
        <v>-5.1727999999999996</v>
        <stp/>
        <stp>BDP|502449647312081017|22</stp>
        <stp>BKR UW Equity</stp>
        <stp>REALTIME_5_DAY_CHANGE_PERCENT</stp>
        <tr r="G67" s="2"/>
      </tp>
      <tp>
        <v>-1.8892</v>
        <stp/>
        <stp>BDP|10183757609904822750|22</stp>
        <stp>SOLV UN Equity</stp>
        <stp>REALTIME_5_DAY_CHANGE_PERCENT</stp>
        <tr r="G421" s="2"/>
      </tp>
      <tp>
        <v>-1.8346</v>
        <stp/>
        <stp>BDP|642864771899079124|22</stp>
        <stp>XOM UN Equity</stp>
        <stp>CHG_PCT_3M_RT</stp>
        <tr r="I502" s="2"/>
      </tp>
      <tp>
        <v>22.512</v>
        <stp/>
        <stp>BDP|364068385713254407|22</stp>
        <stp>VTR UN Equity</stp>
        <stp>CHG_PCT_YTD_RT</stp>
        <tr r="J482" s="2"/>
      </tp>
      <tp>
        <v>-12.363200000000001</v>
        <stp/>
        <stp>BDP|14350664158624228714|22</stp>
        <stp>AMT UN Equity</stp>
        <stp>CHG_PCT_3M_RT</stp>
        <tr r="I35" s="2"/>
      </tp>
      <tp>
        <v>15.744300000000001</v>
        <stp/>
        <stp>BDP|16138983341110464906|22</stp>
        <stp>DIS UN Equity</stp>
        <stp>CHG_PCT_1M_RT</stp>
        <tr r="H143" s="2"/>
      </tp>
      <tp>
        <v>-17.724799999999998</v>
        <stp/>
        <stp>BDP|12045423422114514122|22</stp>
        <stp>NEM UN Equity</stp>
        <stp>CHG_PCT_3M_RT</stp>
        <tr r="I339" s="2"/>
      </tp>
      <tp>
        <v>-2.1267</v>
        <stp/>
        <stp>BDP|17252655974969304413|22</stp>
        <stp>CMS UN Equity</stp>
        <stp>CHG_PCT_3M_RT</stp>
        <tr r="I105" s="2"/>
      </tp>
      <tp>
        <v>11.149900000000001</v>
        <stp/>
        <stp>BDP|17965698984605048509|22</stp>
        <stp>NOW UN Equity</stp>
        <stp>CHG_PCT_1M_RT</stp>
        <tr r="H344" s="2"/>
      </tp>
      <tp>
        <v>10.529199999999999</v>
        <stp/>
        <stp>BDP|11210296727756210403|22</stp>
        <stp>HES UN Equity</stp>
        <stp>CHG_PCT_3M_RT</stp>
        <tr r="I227" s="2"/>
      </tp>
      <tp>
        <v>4.3716999999999997</v>
        <stp/>
        <stp>BDP|13250494610186460356|22</stp>
        <stp>COLCAP Index</stp>
        <stp>CHG_PCT_3M_RT</stp>
        <tr r="I513" s="2"/>
      </tp>
      <tp>
        <v>1.5551999999999999</v>
        <stp/>
        <stp>BDP|12164179372604950573|22</stp>
        <stp>MET UN Equity</stp>
        <stp>CHG_PCT_1M_RT</stp>
        <tr r="H310" s="2"/>
      </tp>
      <tp>
        <v>1.7149000000000001</v>
        <stp/>
        <stp>BDP|10010014860276128043|22</stp>
        <stp>MCO UN Equity</stp>
        <stp>CHG_PCT_3M_RT</stp>
        <tr r="I307" s="2"/>
      </tp>
      <tp>
        <v>-0.85060000000000002</v>
        <stp/>
        <stp>BDP|12706542869137546707|22</stp>
        <stp>AEP UW Equity</stp>
        <stp>CHG_PCT_1M_RT</stp>
        <tr r="H18" s="2"/>
      </tp>
      <tp>
        <v>8.4911999999999992</v>
        <stp/>
        <stp>BDP|12161179494982491208|22</stp>
        <stp>FTV UN Equity</stp>
        <stp>CHG_PCT_3M_RT</stp>
        <tr r="I202" s="2"/>
      </tp>
      <tp>
        <v>4985.46</v>
        <stp/>
        <stp>BDP|3160962929695338137|22</stp>
        <stp>SX5E Index</stp>
        <stp>LAST_PRICE</stp>
        <tr r="B517" s="2"/>
        <tr r="C517" s="2"/>
        <tr r="D517" s="2"/>
        <tr r="E517" s="2"/>
      </tp>
      <tp>
        <v>1.8896999999999999</v>
        <stp/>
        <stp>BDP|14820354871340694785|22</stp>
        <stp>BRO UN Equity</stp>
        <stp>CHG_PCT_3M_RT</stp>
        <tr r="I73" s="2"/>
      </tp>
      <tp>
        <v>7.3441999999999998</v>
        <stp/>
        <stp>BDP|17879504444765453760|22</stp>
        <stp>BSX UN Equity</stp>
        <stp>CHG_PCT_3M_RT</stp>
        <tr r="I74" s="2"/>
      </tp>
      <tp>
        <v>6.6708999999999996</v>
        <stp/>
        <stp>BDP|10569567986540222866|22</stp>
        <stp>LUV UN Equity</stp>
        <stp>CHG_PCT_1M_RT</stp>
        <tr r="H295" s="2"/>
      </tp>
      <tp>
        <v>18.507000000000001</v>
        <stp/>
        <stp>BDP|18394602940564706357|22</stp>
        <stp>GEN UW Equity</stp>
        <stp>CHG_PCT_3M_RT</stp>
        <tr r="I207" s="2"/>
      </tp>
      <tp>
        <v>-1.7695000000000001</v>
        <stp/>
        <stp>BDP|14525798496478235718|22</stp>
        <stp>RTX UN Equity</stp>
        <stp>REALTIME_5_DAY_CHANGE_PERCENT</stp>
        <tr r="G409" s="2"/>
      </tp>
      <tp>
        <v>228.13</v>
        <stp/>
        <stp>BDP|5452274233349305156|22</stp>
        <stp>RL UN Equity</stp>
        <stp>LAST_PRICE</stp>
        <tr r="B402" s="2"/>
        <tr r="E402" s="2"/>
        <tr r="C402" s="2"/>
        <tr r="D402" s="2"/>
      </tp>
      <tp>
        <v>-0.66180002689361572</v>
        <stp/>
        <stp>BDP|162443140007725550|22</stp>
        <stp>SPGI UN Equity</stp>
        <stp>RT_PX_CHG_PCT_1D</stp>
        <tr r="F423" s="2"/>
      </tp>
      <tp>
        <v>12011.5</v>
        <stp/>
        <stp>BDP|16412613929327440556|22</stp>
        <stp>IBEX Index</stp>
        <stp>LAST_PRICE</stp>
        <tr r="B521" s="2"/>
        <tr r="C521" s="2"/>
        <tr r="D521" s="2"/>
        <tr r="E521" s="2"/>
      </tp>
      <tp>
        <v>-5.3136000000000001</v>
        <stp/>
        <stp>BDP|7974219871911941206|22</stp>
        <stp>CI UN Equity</stp>
        <stp>REALTIME_5_DAY_CHANGE_PERCENT</stp>
        <tr r="G97" s="2"/>
      </tp>
      <tp>
        <v>5.9451999999999998</v>
        <stp/>
        <stp>BDP|13421903004694768293|22</stp>
        <stp>KVUE UN Equity</stp>
        <stp>CHG_PCT_YTD_RT</stp>
        <tr r="J281" s="2"/>
      </tp>
      <tp>
        <v>-0.52579998970031738</v>
        <stp/>
        <stp>BDP|13950788736583437314|22</stp>
        <stp>INTC UW Equity</stp>
        <stp>RT_PX_CHG_PCT_1D</stp>
        <tr r="F248" s="2"/>
      </tp>
      <tp>
        <v>0.98059999942779541</v>
        <stp/>
        <stp>BDP|12209527808839211609|22</stp>
        <stp>BALL UN Equity</stp>
        <stp>RT_PX_CHG_PCT_1D</stp>
        <tr r="F57" s="2"/>
      </tp>
      <tp>
        <v>180.2997</v>
        <stp/>
        <stp>BDP|13977281959651795298|22</stp>
        <stp>NVDA UW Equity</stp>
        <stp>CHG_PCT_YTD_RT</stp>
        <tr r="J350" s="2"/>
      </tp>
      <tp>
        <v>0.311</v>
        <stp/>
        <stp>BDP|11163966564710351513|22</stp>
        <stp>TECH UW Equity</stp>
        <stp>CHG_PCT_YTD_RT</stp>
        <tr r="J440" s="2"/>
      </tp>
      <tp>
        <v>12.0783</v>
        <stp/>
        <stp>BDP|14863289990620776413|22</stp>
        <stp>DXCM UW Equity</stp>
        <stp>CHG_PCT_1M_RT</stp>
        <tr r="H155" s="2"/>
      </tp>
      <tp>
        <v>8422.99</v>
        <stp/>
        <stp>BDP|1083564849060306629|22</stp>
        <stp>AS51 Index</stp>
        <stp>LAST_PRICE</stp>
        <tr r="E531" s="2"/>
        <tr r="B531" s="2"/>
        <tr r="C531" s="2"/>
        <tr r="D531" s="2"/>
      </tp>
      <tp>
        <v>-16.907900000000001</v>
        <stp/>
        <stp>BDP|13804353277837482316|22</stp>
        <stp>APTV UN Equity</stp>
        <stp>CHG_PCT_3M_RT</stp>
        <tr r="I45" s="2"/>
      </tp>
      <tp>
        <v>-19.917200000000001</v>
        <stp/>
        <stp>BDP|10956666569075048676|22</stp>
        <stp>MPWR UW Equity</stp>
        <stp>CHG_PCT_1M_RT</stp>
        <tr r="H324" s="2"/>
      </tp>
      <tp>
        <v>0.60919999999999996</v>
        <stp/>
        <stp>BDP|11488158402411166040|22</stp>
        <stp>VRTX UW Equity</stp>
        <stp>CHG_PCT_3M_RT</stp>
        <tr r="I480" s="2"/>
      </tp>
      <tp>
        <v>-8.2750000000000004</v>
        <stp/>
        <stp>BDP|11463468672937024470|22</stp>
        <stp>VRTX UW Equity</stp>
        <stp>CHG_PCT_1M_RT</stp>
        <tr r="H480" s="2"/>
      </tp>
      <tp>
        <v>-7.218</v>
        <stp/>
        <stp>BDP|16325710103440334162|22</stp>
        <stp>CHTR UW Equity</stp>
        <stp>REALTIME_5_DAY_CHANGE_PERCENT</stp>
        <tr r="G96" s="2"/>
      </tp>
      <tp>
        <v>23.746600000000001</v>
        <stp/>
        <stp>BDP|14920622640868087935|22</stp>
        <stp>NTRS UW Equity</stp>
        <stp>CHG_PCT_3M_RT</stp>
        <tr r="I348" s="2"/>
      </tp>
      <tp>
        <v>-7.3490000000000002</v>
        <stp/>
        <stp>BDP|10173708779497368513|22</stp>
        <stp>NEM UN Equity</stp>
        <stp>CHG_PCT_1M_RT</stp>
        <tr r="H339" s="2"/>
      </tp>
      <tp>
        <v>-3.1905000000000001</v>
        <stp/>
        <stp>BDP|17368438930624215994|22</stp>
        <stp>MMC UN Equity</stp>
        <stp>CHG_PCT_1M_RT</stp>
        <tr r="H317" s="2"/>
      </tp>
      <tp>
        <v>0.27460000000000001</v>
        <stp/>
        <stp>BDP|16278894641873921372|22</stp>
        <stp>CHD UN Equity</stp>
        <stp>CHG_PCT_3M_RT</stp>
        <tr r="I94" s="2"/>
      </tp>
      <tp>
        <v>5.6127000000000002</v>
        <stp/>
        <stp>BDP|12790508677909579770|22</stp>
        <stp>DVA UN Equity</stp>
        <stp>CHG_PCT_1M_RT</stp>
        <tr r="H153" s="2"/>
      </tp>
      <tp>
        <v>-3.9184000000000001</v>
        <stp/>
        <stp>BDP|10979671967502093263|22</stp>
        <stp>HAS UW Equity</stp>
        <stp>CHG_PCT_3M_RT</stp>
        <tr r="I223" s="2"/>
      </tp>
      <tp>
        <v>-18.432200000000002</v>
        <stp/>
        <stp>BDP|10543976269807076844|22</stp>
        <stp>LYB UN Equity</stp>
        <stp>CHG_PCT_3M_RT</stp>
        <tr r="I298" s="2"/>
      </tp>
      <tp>
        <v>9.5076999999999998</v>
        <stp/>
        <stp>BDP|15932065249602827596|22</stp>
        <stp>LVS UN Equity</stp>
        <stp>CHG_PCT_1M_RT</stp>
        <tr r="H296" s="2"/>
      </tp>
      <tp>
        <v>-1.2013</v>
        <stp/>
        <stp>BDP|17693191425403609668|22</stp>
        <stp>ESS UN Equity</stp>
        <stp>CHG_PCT_1M_RT</stp>
        <tr r="H175" s="2"/>
      </tp>
      <tp>
        <v>2.8820999999999999</v>
        <stp/>
        <stp>BDP|13681653569728367837|22</stp>
        <stp>JPM UN Equity</stp>
        <stp>CHG_PCT_1M_RT</stp>
        <tr r="H267" s="2"/>
      </tp>
      <tp>
        <v>2.8016999999999999</v>
        <stp/>
        <stp>BDP|17186263424270432307|22</stp>
        <stp>LNT UW Equity</stp>
        <stp>CHG_PCT_3M_RT</stp>
        <tr r="I291" s="2"/>
      </tp>
      <tp>
        <v>-1.4170000553131104</v>
        <stp/>
        <stp>BDP|670891649564011794|22</stp>
        <stp>PM UN Equity</stp>
        <stp>RT_PX_CHG_PCT_1D</stp>
        <tr r="F381" s="2"/>
      </tp>
      <tp>
        <v>0.31940000000000002</v>
        <stp/>
        <stp>BDP|2441116266005365620|22</stp>
        <stp>BA UN Equity</stp>
        <stp>REALTIME_5_DAY_CHANGE_PERCENT</stp>
        <tr r="G55" s="2"/>
      </tp>
      <tp>
        <v>0.52</v>
        <stp/>
        <stp>BDP|9648840346408225166|22</stp>
        <stp>HD UN Equity</stp>
        <stp>REALTIME_5_DAY_CHANGE_PERCENT</stp>
        <tr r="G226" s="2"/>
      </tp>
      <tp>
        <v>6.7495999336242676</v>
        <stp/>
        <stp>BDP|10886086970583842320|22</stp>
        <stp>ENPH UQ Equity</stp>
        <stp>RT_PX_CHG_PCT_1D</stp>
        <tr r="F167" s="2"/>
      </tp>
      <tp>
        <v>1.7984000444412231</v>
        <stp/>
        <stp>BDP|13059305736768275950|22</stp>
        <stp>MNST UW Equity</stp>
        <stp>RT_PX_CHG_PCT_1D</stp>
        <tr r="F319" s="2"/>
      </tp>
      <tp>
        <v>0.17380000650882721</v>
        <stp/>
        <stp>BDP|10913637728661304136|22</stp>
        <stp>FANG UW Equity</stp>
        <stp>RT_PX_CHG_PCT_1D</stp>
        <tr r="F185" s="2"/>
      </tp>
      <tp>
        <v>-0.62230002880096436</v>
        <stp/>
        <stp>BDP|18204601340503944684|22</stp>
        <stp>CTSH UW Equity</stp>
        <stp>RT_PX_CHG_PCT_1D</stp>
        <tr r="F126" s="2"/>
      </tp>
      <tp>
        <v>0.21389999985694885</v>
        <stp/>
        <stp>BDP|17539457267129144418|22</stp>
        <stp>MSCI UN Equity</stp>
        <stp>RT_PX_CHG_PCT_1D</stp>
        <tr r="F328" s="2"/>
      </tp>
      <tp>
        <v>1.2882000207901001</v>
        <stp/>
        <stp>BDP|10003695143359066048|22</stp>
        <stp>APTV UN Equity</stp>
        <stp>RT_PX_CHG_PCT_1D</stp>
        <tr r="F45" s="2"/>
      </tp>
      <tp>
        <v>-0.54579997062683105</v>
        <stp/>
        <stp>BDP|2563522505175614470|22</stp>
        <stp>FTSEMIB Index</stp>
        <stp>RT_PX_CHG_PCT_1D</stp>
        <tr r="F522" s="2"/>
      </tp>
      <tp>
        <v>1.0886</v>
        <stp/>
        <stp>BDP|14340988304154460190|22</stp>
        <stp>PAYC UN Equity</stp>
        <stp>REALTIME_5_DAY_CHANGE_PERCENT</stp>
        <tr r="G366" s="2"/>
      </tp>
      <tp>
        <v>-5.9744000000000002</v>
        <stp/>
        <stp>BDP|13521125287279236761|22</stp>
        <stp>NVDA UW Equity</stp>
        <stp>CHG_PCT_1M_RT</stp>
        <tr r="H350" s="2"/>
      </tp>
      <tp>
        <v>3.1185999999999998</v>
        <stp/>
        <stp>BDP|17907301300958026783|22</stp>
        <stp>EBAY UW Equity</stp>
        <stp>REALTIME_5_DAY_CHANGE_PERCENT</stp>
        <tr r="G157" s="2"/>
      </tp>
      <tp>
        <v>-0.1676</v>
        <stp/>
        <stp>BDP|14796028952385181954|22</stp>
        <stp>CDNS UW Equity</stp>
        <stp>REALTIME_5_DAY_CHANGE_PERCENT</stp>
        <tr r="G88" s="2"/>
      </tp>
      <tp>
        <v>10.264699999999999</v>
        <stp/>
        <stp>BDP|13052806393025089614|22</stp>
        <stp>HSIC UW Equity</stp>
        <stp>CHG_PCT_1M_RT</stp>
        <tr r="H236" s="2"/>
      </tp>
      <tp>
        <v>-6.5299999999999997E-2</v>
        <stp/>
        <stp>BDP|13995440812617099041|22</stp>
        <stp>RMD UN Equity</stp>
        <stp>REALTIME_5_DAY_CHANGE_PERCENT</stp>
        <tr r="G403" s="2"/>
      </tp>
      <tp>
        <v>-0.24529999999999999</v>
        <stp/>
        <stp>BDP|14844406480140265108|22</stp>
        <stp>MGM UN Equity</stp>
        <stp>CHG_PCT_1M_RT</stp>
        <tr r="H312" s="2"/>
      </tp>
      <tp>
        <v>-4.2864000000000004</v>
        <stp/>
        <stp>BDP|15046756685601381177|22</stp>
        <stp>MDT UN Equity</stp>
        <stp>CHG_PCT_1M_RT</stp>
        <tr r="H309" s="2"/>
      </tp>
      <tp>
        <v>-2.1076000000000001</v>
        <stp/>
        <stp>BDP|14606898516387675658|22</stp>
        <stp>BBY UN Equity</stp>
        <stp>CHG_PCT_1M_RT</stp>
        <tr r="H59" s="2"/>
      </tp>
      <tp>
        <v>18.953800000000001</v>
        <stp/>
        <stp>BDP|12706376651281817279|22</stp>
        <stp>CMG UN Equity</stp>
        <stp>CHG_PCT_3M_RT</stp>
        <tr r="I103" s="2"/>
      </tp>
      <tp>
        <v>58.390500000000003</v>
        <stp/>
        <stp>BDP|17099079560751136859|22</stp>
        <stp>CCL UN Equity</stp>
        <stp>CHG_PCT_3M_RT</stp>
        <tr r="I87" s="2"/>
      </tp>
      <tp>
        <v>0.49890000000000001</v>
        <stp/>
        <stp>BDP|10577210523805007108|22</stp>
        <stp>IEX UN Equity</stp>
        <stp>CHG_PCT_1M_RT</stp>
        <tr r="H245" s="2"/>
      </tp>
      <tp>
        <v>2.7549000000000001</v>
        <stp/>
        <stp>BDP|13554405464559101061|22</stp>
        <stp>STZ UN Equity</stp>
        <stp>REALTIME_5_DAY_CHANGE_PERCENT</stp>
        <tr r="G429" s="2"/>
      </tp>
      <tp>
        <v>2.8673999999999999</v>
        <stp/>
        <stp>BDP|16608444459942153292|22</stp>
        <stp>GPC UN Equity</stp>
        <stp>CHG_PCT_1M_RT</stp>
        <tr r="H217" s="2"/>
      </tp>
      <tp>
        <v>-5.8544</v>
        <stp/>
        <stp>BDP|16446344509228018543|22</stp>
        <stp>EXR UN Equity</stp>
        <stp>CHG_PCT_3M_RT</stp>
        <tr r="I183" s="2"/>
      </tp>
      <tp>
        <v>-3.5819999999999999</v>
        <stp/>
        <stp>BDP|10042942475412324449|22</stp>
        <stp>OXY UN Equity</stp>
        <stp>CHG_PCT_1M_RT</stp>
        <tr r="H363" s="2"/>
      </tp>
      <tp>
        <v>-2.5295000000000001</v>
        <stp/>
        <stp>BDP|15837384017812286603|22</stp>
        <stp>WRB UN Equity</stp>
        <stp>REALTIME_5_DAY_CHANGE_PERCENT</stp>
        <tr r="G496" s="2"/>
      </tp>
      <tp>
        <v>3.3956</v>
        <stp/>
        <stp>BDP|16189051933397801544|22</stp>
        <stp>DTE UN Equity</stp>
        <stp>CHG_PCT_1M_RT</stp>
        <tr r="H151" s="2"/>
      </tp>
      <tp>
        <v>31.306799999999999</v>
        <stp/>
        <stp>BDP|10104232508852120375|22</stp>
        <stp>HPE UN Equity</stp>
        <stp>CHG_PCT_3M_RT</stp>
        <tr r="I233" s="2"/>
      </tp>
      <tp>
        <v>-3.3833000000000002</v>
        <stp/>
        <stp>BDP|15660600466451446872|22</stp>
        <stp>PFG UW Equity</stp>
        <stp>REALTIME_5_DAY_CHANGE_PERCENT</stp>
        <tr r="G373" s="2"/>
      </tp>
      <tp>
        <v>-0.2109</v>
        <stp/>
        <stp>BDP|2757539600743114819|22</stp>
        <stp>EA UW Equity</stp>
        <stp>REALTIME_5_DAY_CHANGE_PERCENT</stp>
        <tr r="G156" s="2"/>
      </tp>
      <tp>
        <v>-1.3689999580383301</v>
        <stp/>
        <stp>BDP|656520534745085889|22</stp>
        <stp>CL UN Equity</stp>
        <stp>RT_PX_CHG_PCT_1D</stp>
        <tr r="F99" s="2"/>
      </tp>
      <tp>
        <v>1.6378999948501587</v>
        <stp/>
        <stp>BDP|320253600818104492|22</stp>
        <stp>PARA UW Equity</stp>
        <stp>RT_PX_CHG_PCT_1D</stp>
        <tr r="F365" s="2"/>
      </tp>
      <tp>
        <v>-0.49519999999999997</v>
        <stp/>
        <stp>BDP|3965909351079347338|22</stp>
        <stp>IT UN Equity</stp>
        <stp>REALTIME_5_DAY_CHANGE_PERCENT</stp>
        <tr r="G257" s="2"/>
      </tp>
      <tp>
        <v>1.0809999704360962</v>
        <stp/>
        <stp>BDP|16171151611392038466|22</stp>
        <stp>AKAM UW Equity</stp>
        <stp>RT_PX_CHG_PCT_1D</stp>
        <tr r="F24" s="2"/>
      </tp>
      <tp>
        <v>11.825699999999999</v>
        <stp/>
        <stp>BDP|11153293713280602853|22</stp>
        <stp>GILD UW Equity</stp>
        <stp>CHG_PCT_YTD_RT</stp>
        <tr r="J209" s="2"/>
      </tp>
      <tp>
        <v>-1.6382999420166016</v>
        <stp/>
        <stp>BDP|10326395435107633692|22</stp>
        <stp>FOXA UW Equity</stp>
        <stp>RT_PX_CHG_PCT_1D</stp>
        <tr r="F198" s="2"/>
      </tp>
      <tp>
        <v>0.60860002040863037</v>
        <stp/>
        <stp>BDP|13713811351429367510|22</stp>
        <stp>BLDR UN Equity</stp>
        <stp>RT_PX_CHG_PCT_1D</stp>
        <tr r="F68" s="2"/>
      </tp>
      <tp>
        <v>0.19650000333786011</v>
        <stp/>
        <stp>BDP|11136467147735412673|22</stp>
        <stp>AMCR UN Equity</stp>
        <stp>RT_PX_CHG_PCT_1D</stp>
        <tr r="F30" s="2"/>
      </tp>
      <tp>
        <v>0.30329999327659607</v>
        <stp/>
        <stp>BDP|12007323132209677897|22</stp>
        <stp>FFIV UW Equity</stp>
        <stp>RT_PX_CHG_PCT_1D</stp>
        <tr r="F191" s="2"/>
      </tp>
      <tp>
        <v>-1.1045000553131104</v>
        <stp/>
        <stp>BDP|17506712652434817903|22</stp>
        <stp>CPAY UN Equity</stp>
        <stp>RT_PX_CHG_PCT_1D</stp>
        <tr r="F113" s="2"/>
      </tp>
      <tp>
        <v>2.1979000000000002</v>
        <stp/>
        <stp>BDP|1845996522584417998|22</stp>
        <stp>FTSEMIB Index</stp>
        <stp>CHG_PCT_1M_RT</stp>
        <tr r="H522" s="2"/>
      </tp>
      <tp>
        <v>-31.392800000000001</v>
        <stp/>
        <stp>BDP|15771126001303838109|22</stp>
        <stp>MCHP UW Equity</stp>
        <stp>CHG_PCT_YTD_RT</stp>
        <tr r="J305" s="2"/>
      </tp>
      <tp>
        <v>-5.6227999999999998</v>
        <stp/>
        <stp>BDP|14365714008383667043|22</stp>
        <stp>GNRC UN Equity</stp>
        <stp>REALTIME_5_DAY_CHANGE_PERCENT</stp>
        <tr r="G214" s="2"/>
      </tp>
      <tp>
        <v>4.0103999999999997</v>
        <stp/>
        <stp>BDP|15303248008959224811|22</stp>
        <stp>TSCO UW Equity</stp>
        <stp>CHG_PCT_3M_RT</stp>
        <tr r="I455" s="2"/>
      </tp>
      <tp>
        <v>2.6979000000000002</v>
        <stp/>
        <stp>BDP|14808885987073149041|22</stp>
        <stp>TRMB UW Equity</stp>
        <stp>CHG_PCT_1M_RT</stp>
        <tr r="H452" s="2"/>
      </tp>
      <tp>
        <v>2.0444</v>
        <stp/>
        <stp>BDP|10300484326531964239|22</stp>
        <stp>APTV UN Equity</stp>
        <stp>CHG_PCT_1M_RT</stp>
        <tr r="H45" s="2"/>
      </tp>
      <tp>
        <v>-7.7175000000000002</v>
        <stp/>
        <stp>BDP|17751085226762285607|22</stp>
        <stp>CTAS UW Equity</stp>
        <stp>CHG_PCT_1M_RT</stp>
        <tr r="H123" s="2"/>
      </tp>
      <tp>
        <v>-2.1997</v>
        <stp/>
        <stp>BDP|765537015722868269|22</stp>
        <stp>LNT UW Equity</stp>
        <stp>REALTIME_5_DAY_CHANGE_PERCENT</stp>
        <tr r="G291" s="2"/>
      </tp>
      <tp>
        <v>-1.4932000000000001</v>
        <stp/>
        <stp>BDP|739391030705199792|22</stp>
        <stp>COF UN Equity</stp>
        <stp>REALTIME_5_DAY_CHANGE_PERCENT</stp>
        <tr r="G108" s="2"/>
      </tp>
      <tp>
        <v>4.1246</v>
        <stp/>
        <stp>BDP|11401426441973954442|22</stp>
        <stp>MSCI UN Equity</stp>
        <stp>CHG_PCT_1M_RT</stp>
        <tr r="H328" s="2"/>
      </tp>
      <tp>
        <v>2.9908000000000001</v>
        <stp/>
        <stp>BDP|285785338782365625|22</stp>
        <stp>HST UW Equity</stp>
        <stp>REALTIME_5_DAY_CHANGE_PERCENT</stp>
        <tr r="G237" s="2"/>
      </tp>
      <tp>
        <v>18.298400000000001</v>
        <stp/>
        <stp>BDP|651214316780397541|22</stp>
        <stp>BXP UN Equity</stp>
        <stp>CHG_PCT_YTD_RT</stp>
        <tr r="J77" s="2"/>
      </tp>
      <tp>
        <v>-0.48080000000000001</v>
        <stp/>
        <stp>BDP|12212241207514847184|22</stp>
        <stp>SPGI UN Equity</stp>
        <stp>CHG_PCT_3M_RT</stp>
        <tr r="I423" s="2"/>
      </tp>
      <tp>
        <v>5.8898999999999999</v>
        <stp/>
        <stp>BDP|18294714221350015853|22</stp>
        <stp>EPAM UN Equity</stp>
        <stp>CHG_PCT_1M_RT</stp>
        <tr r="H169" s="2"/>
      </tp>
      <tp>
        <v>-1.6132</v>
        <stp/>
        <stp>BDP|13864330614748595208|22</stp>
        <stp>DELL UN Equity</stp>
        <stp>REALTIME_5_DAY_CHANGE_PERCENT</stp>
        <tr r="G137" s="2"/>
      </tp>
      <tp>
        <v>4.5350000000000001</v>
        <stp/>
        <stp>BDP|180980893321978551|22</stp>
        <stp>AES UN Equity</stp>
        <stp>REALTIME_5_DAY_CHANGE_PERCENT</stp>
        <tr r="G19" s="2"/>
      </tp>
      <tp>
        <v>3.3586999999999998</v>
        <stp/>
        <stp>BDP|14792832162888856141|22</stp>
        <stp>EVRG UW Equity</stp>
        <stp>CHG_PCT_3M_RT</stp>
        <tr r="I178" s="2"/>
      </tp>
      <tp>
        <v>-0.2238</v>
        <stp/>
        <stp>BDP|16978596941478592005|22</stp>
        <stp>ICE UN Equity</stp>
        <stp>CHG_PCT_1M_RT</stp>
        <tr r="H243" s="2"/>
      </tp>
      <tp>
        <v>-2.135699987411499</v>
        <stp/>
        <stp>BDP|6307224419034457858|22</stp>
        <stp>T UN Equity</stp>
        <stp>RT_PX_CHG_PCT_1D</stp>
        <tr r="F436" s="2"/>
      </tp>
      <tp>
        <v>-2.3666</v>
        <stp/>
        <stp>BDP|10831794034832016703|22</stp>
        <stp>ROL UN Equity</stp>
        <stp>REALTIME_5_DAY_CHANGE_PERCENT</stp>
        <tr r="G405" s="2"/>
      </tp>
      <tp>
        <v>30.765499999999999</v>
        <stp/>
        <stp>BDP|10864806201620843326|22</stp>
        <stp>JBL UN Equity</stp>
        <stp>CHG_PCT_3M_RT</stp>
        <tr r="I262" s="2"/>
      </tp>
      <tp>
        <v>0.35820000000000002</v>
        <stp/>
        <stp>BDP|14611452439358550388|22</stp>
        <stp>MAS UN Equity</stp>
        <stp>CHG_PCT_1M_RT</stp>
        <tr r="H303" s="2"/>
      </tp>
      <tp>
        <v>-7.5544000000000002</v>
        <stp/>
        <stp>BDP|14384141630495445837|22</stp>
        <stp>COP UN Equity</stp>
        <stp>CHG_PCT_1M_RT</stp>
        <tr r="H110" s="2"/>
      </tp>
      <tp>
        <v>-0.3831</v>
        <stp/>
        <stp>BDP|14119674121734379611|22</stp>
        <stp>TFC UN Equity</stp>
        <stp>REALTIME_5_DAY_CHANGE_PERCENT</stp>
        <tr r="G443" s="2"/>
      </tp>
      <tp>
        <v>-4.7323000000000004</v>
        <stp/>
        <stp>BDP|12271915177237488345|22</stp>
        <stp>FMC UN Equity</stp>
        <stp>CHG_PCT_3M_RT</stp>
        <tr r="I196" s="2"/>
      </tp>
      <tp>
        <v>-5.3071000000000002</v>
        <stp/>
        <stp>BDP|16760957520322277563|22</stp>
        <stp>MOH UN Equity</stp>
        <stp>CHG_PCT_3M_RT</stp>
        <tr r="I321" s="2"/>
      </tp>
      <tp>
        <v>4.9672999999999998</v>
        <stp/>
        <stp>BDP|10770823311285867547|22</stp>
        <stp>AON UN Equity</stp>
        <stp>CHG_PCT_3M_RT</stp>
        <tr r="I40" s="2"/>
      </tp>
      <tp>
        <v>-3.5659999999999998</v>
        <stp/>
        <stp>BDP|17080871874291569760|22</stp>
        <stp>EIX UN Equity</stp>
        <stp>CHG_PCT_3M_RT</stp>
        <tr r="I162" s="2"/>
      </tp>
      <tp>
        <v>2.4328000545501709</v>
        <stp/>
        <stp>BDP|8992751842206386490|22</stp>
        <stp>A UN Equity</stp>
        <stp>RT_PX_CHG_PCT_1D</stp>
        <tr r="F5" s="2"/>
      </tp>
      <tp>
        <v>3.3041</v>
        <stp/>
        <stp>BDP|13196996234600889266|22</stp>
        <stp>COLCAP Index</stp>
        <stp>CHG_PCT_1M_RT</stp>
        <tr r="H513" s="2"/>
      </tp>
      <tp>
        <v>1.1203000000000001</v>
        <stp/>
        <stp>BDP|11865844863960004781|22</stp>
        <stp>BWA UN Equity</stp>
        <stp>CHG_PCT_1M_RT</stp>
        <tr r="H75" s="2"/>
      </tp>
      <tp>
        <v>2.5972</v>
        <stp/>
        <stp>BDP|18421576242474457064|22</stp>
        <stp>NUE UN Equity</stp>
        <stp>CHG_PCT_3M_RT</stp>
        <tr r="I349" s="2"/>
      </tp>
      <tp>
        <v>0.17680000000000001</v>
        <stp/>
        <stp>BDP|13727995736286590718|22</stp>
        <stp>EQR UN Equity</stp>
        <stp>CHG_PCT_1M_RT</stp>
        <tr r="H171" s="2"/>
      </tp>
      <tp>
        <v>-1.4477</v>
        <stp/>
        <stp>BDP|13416252707195069690|22</stp>
        <stp>WBA UW Equity</stp>
        <stp>REALTIME_5_DAY_CHANGE_PERCENT</stp>
        <tr r="G487" s="2"/>
      </tp>
      <tp>
        <v>-3.7635000000000001</v>
        <stp/>
        <stp>BDP|13008736136419108883|22</stp>
        <stp>VST UN Equity</stp>
        <stp>REALTIME_5_DAY_CHANGE_PERCENT</stp>
        <tr r="G481" s="2"/>
      </tp>
      <tp>
        <v>-4.4268999999999998</v>
        <stp/>
        <stp>BDP|14522398227770506577|22</stp>
        <stp>LIN UW Equity</stp>
        <stp>CHG_PCT_3M_RT</stp>
        <tr r="I287" s="2"/>
      </tp>
      <tp>
        <v>5.6184000000000003</v>
        <stp/>
        <stp>BDP|16148886053693793608|22</stp>
        <stp>TER UW Equity</stp>
        <stp>REALTIME_5_DAY_CHANGE_PERCENT</stp>
        <tr r="G442" s="2"/>
      </tp>
      <tp>
        <v>-2.4251999999999998</v>
        <stp/>
        <stp>BDP|1849501708426629281|22</stp>
        <stp>CE UN Equity</stp>
        <stp>REALTIME_5_DAY_CHANGE_PERCENT</stp>
        <tr r="G90" s="2"/>
      </tp>
      <tp>
        <v>-1.6072</v>
        <stp/>
        <stp>BDP|5566767297398169516|22</stp>
        <stp>MA UN Equity</stp>
        <stp>REALTIME_5_DAY_CHANGE_PERCENT</stp>
        <tr r="G300" s="2"/>
      </tp>
      <tp>
        <v>1.9496</v>
        <stp/>
        <stp>BDP|16941032679090896065|22</stp>
        <stp>NIFTY Index</stp>
        <stp>CHG_PCT_1M_RT</stp>
        <tr r="H533" s="2"/>
      </tp>
      <tp>
        <v>-1.9813000000000001</v>
        <stp/>
        <stp>BDP|8843445332604712994|22</stp>
        <stp>NI UN Equity</stp>
        <stp>REALTIME_5_DAY_CHANGE_PERCENT</stp>
        <tr r="G341" s="2"/>
      </tp>
      <tp>
        <v>0.77109998464584351</v>
        <stp/>
        <stp>BDP|524622322539417917|22</stp>
        <stp>QCOM UW Equity</stp>
        <stp>RT_PX_CHG_PCT_1D</stp>
        <tr r="F395" s="2"/>
      </tp>
      <tp>
        <v>5.9234</v>
        <stp/>
        <stp>BDP|14938347587055201750|22</stp>
        <stp>GEHC UW Equity</stp>
        <stp>CHG_PCT_YTD_RT</stp>
        <tr r="J206" s="2"/>
      </tp>
      <tp>
        <v>47.480899999999998</v>
        <stp/>
        <stp>BDP|12636583221919083611|22</stp>
        <stp>CBRE UN Equity</stp>
        <stp>CHG_PCT_YTD_RT</stp>
        <tr r="J85" s="2"/>
      </tp>
      <tp>
        <v>-0.80800002813339233</v>
        <stp/>
        <stp>BDP|11356025779444842208|22</stp>
        <stp>ANSS UW Equity</stp>
        <stp>RT_PX_CHG_PCT_1D</stp>
        <tr r="F39" s="2"/>
      </tp>
      <tp>
        <v>-0.47850000858306885</v>
        <stp/>
        <stp>BDP|13240868497756684406|22</stp>
        <stp>COST UW Equity</stp>
        <stp>RT_PX_CHG_PCT_1D</stp>
        <tr r="F112" s="2"/>
      </tp>
      <tp>
        <v>0.81239998340606689</v>
        <stp/>
        <stp>BDP|13602945284207781163|22</stp>
        <stp>GEHC UW Equity</stp>
        <stp>RT_PX_CHG_PCT_1D</stp>
        <tr r="F206" s="2"/>
      </tp>
      <tp>
        <v>-9.7943999999999996</v>
        <stp/>
        <stp>BDP|7429565609935557828|22</stp>
        <stp>CMCSA UW Equity</stp>
        <stp>REALTIME_5_DAY_CHANGE_PERCENT</stp>
        <tr r="G101" s="2"/>
      </tp>
      <tp>
        <v>52177.02</v>
        <stp/>
        <stp>BDP|3781983136432300568|22</stp>
        <stp>MEXBOL Index</stp>
        <stp>LAST_PRICE</stp>
        <tr r="D510" s="2"/>
        <tr r="E510" s="2"/>
        <tr r="B510" s="2"/>
        <tr r="C510" s="2"/>
      </tp>
      <tp>
        <v>65.795299999999997</v>
        <stp/>
        <stp>BDP|14339889831563386527|22</stp>
        <stp>FTNT UW Equity</stp>
        <stp>CHG_PCT_YTD_RT</stp>
        <tr r="J201" s="2"/>
      </tp>
      <tp>
        <v>20.311900000000001</v>
        <stp/>
        <stp>BDP|14310639683129761785|22</stp>
        <stp>EQIX UW Equity</stp>
        <stp>CHG_PCT_YTD_RT</stp>
        <tr r="J170" s="2"/>
      </tp>
      <tp>
        <v>-0.6468999981880188</v>
        <stp/>
        <stp>BDP|18027500662789150260|22</stp>
        <stp>ORCL UN Equity</stp>
        <stp>RT_PX_CHG_PCT_1D</stp>
        <tr r="F360" s="2"/>
      </tp>
      <tp>
        <v>-1.6263999938964844</v>
        <stp/>
        <stp>BDP|14544651057747363321|22</stp>
        <stp>EQIX UW Equity</stp>
        <stp>RT_PX_CHG_PCT_1D</stp>
        <tr r="F170" s="2"/>
      </tp>
      <tp>
        <v>-8.6913</v>
        <stp/>
        <stp>BDP|16930980328798692223|22</stp>
        <stp>JBHT UW Equity</stp>
        <stp>CHG_PCT_YTD_RT</stp>
        <tr r="J261" s="2"/>
      </tp>
      <tp>
        <v>-4.9535999999999998</v>
        <stp/>
        <stp>BDP|10504535980797756496|22</stp>
        <stp>FANG UW Equity</stp>
        <stp>REALTIME_5_DAY_CHANGE_PERCENT</stp>
        <tr r="G185" s="2"/>
      </tp>
      <tp>
        <v>1.4649000000000001</v>
        <stp/>
        <stp>BDP|13461086667373910565|22</stp>
        <stp>ALGN UW Equity</stp>
        <stp>REALTIME_5_DAY_CHANGE_PERCENT</stp>
        <tr r="G26" s="2"/>
      </tp>
      <tp>
        <v>-0.95199999999999996</v>
        <stp/>
        <stp>BDP|751039271937561465|22</stp>
        <stp>CPT UN Equity</stp>
        <stp>REALTIME_5_DAY_CHANGE_PERCENT</stp>
        <tr r="G116" s="2"/>
      </tp>
      <tp>
        <v>12.462199999999999</v>
        <stp/>
        <stp>BDP|682200538291904391|22</stp>
        <stp>SPG UN Equity</stp>
        <stp>CHG_PCT_3M_RT</stp>
        <tr r="I422" s="2"/>
      </tp>
      <tp>
        <v>-2.8607999999999998</v>
        <stp/>
        <stp>BDP|16661868468783380675|22</stp>
        <stp>ABBV UN Equity</stp>
        <stp>REALTIME_5_DAY_CHANGE_PERCENT</stp>
        <tr r="G7" s="2"/>
      </tp>
      <tp>
        <v>0.44919999999999999</v>
        <stp/>
        <stp>BDP|13681399008876187110|22</stp>
        <stp>ISRG UW Equity</stp>
        <stp>CHG_PCT_1M_RT</stp>
        <tr r="H256" s="2"/>
      </tp>
      <tp>
        <v>-2.1673</v>
        <stp/>
        <stp>BDP|14808474403438124587|22</stp>
        <stp>SBUX UW Equity</stp>
        <stp>REALTIME_5_DAY_CHANGE_PERCENT</stp>
        <tr r="G412" s="2"/>
      </tp>
      <tp>
        <v>-3.4171</v>
        <stp/>
        <stp>BDP|11459110631769810066|22</stp>
        <stp>WELL UN Equity</stp>
        <stp>REALTIME_5_DAY_CHANGE_PERCENT</stp>
        <tr r="G491" s="2"/>
      </tp>
      <tp>
        <v>0.82479999999999998</v>
        <stp/>
        <stp>BDP|322199219108133081|22</stp>
        <stp>AMT UN Equity</stp>
        <stp>REALTIME_5_DAY_CHANGE_PERCENT</stp>
        <tr r="G35" s="2"/>
      </tp>
      <tp>
        <v>-1.4355</v>
        <stp/>
        <stp>BDP|11385123174995991929|22</stp>
        <stp>NDSN UW Equity</stp>
        <stp>REALTIME_5_DAY_CHANGE_PERCENT</stp>
        <tr r="G337" s="2"/>
      </tp>
      <tp>
        <v>-4.5023999999999997</v>
        <stp/>
        <stp>BDP|14365265225746589440|22</stp>
        <stp>FICO UN Equity</stp>
        <stp>REALTIME_5_DAY_CHANGE_PERCENT</stp>
        <tr r="G193" s="2"/>
      </tp>
      <tp>
        <v>19.5246</v>
        <stp/>
        <stp>BDP|10722405968965630822|22</stp>
        <stp>CAT UN Equity</stp>
        <stp>CHG_PCT_3M_RT</stp>
        <tr r="I82" s="2"/>
      </tp>
      <tp>
        <v>-3.3308</v>
        <stp/>
        <stp>BDP|15973974877405360777|22</stp>
        <stp>EXC UW Equity</stp>
        <stp>CHG_PCT_3M_RT</stp>
        <tr r="I180" s="2"/>
      </tp>
      <tp>
        <v>-2.0274999999999999</v>
        <stp/>
        <stp>BDP|12817266741939510968|22</stp>
        <stp>VMC UN Equity</stp>
        <stp>REALTIME_5_DAY_CHANGE_PERCENT</stp>
        <tr r="G477" s="2"/>
      </tp>
      <tp>
        <v>9.8112999999999992</v>
        <stp/>
        <stp>BDP|11442640240055058034|22</stp>
        <stp>CMG UN Equity</stp>
        <stp>CHG_PCT_1M_RT</stp>
        <tr r="H103" s="2"/>
      </tp>
      <tp>
        <v>3.2004000000000001</v>
        <stp/>
        <stp>BDP|16317374335037844102|22</stp>
        <stp>MKC UN Equity</stp>
        <stp>CHG_PCT_1M_RT</stp>
        <tr r="H314" s="2"/>
      </tp>
      <tp>
        <v>17.1129</v>
        <stp/>
        <stp>BDP|13081493246908163124|22</stp>
        <stp>NWS UW Equity</stp>
        <stp>CHG_PCT_3M_RT</stp>
        <tr r="I352" s="2"/>
      </tp>
      <tp>
        <v>-6.1279000000000003</v>
        <stp/>
        <stp>BDP|11933349659634413158|22</stp>
        <stp>PGR UN Equity</stp>
        <stp>REALTIME_5_DAY_CHANGE_PERCENT</stp>
        <tr r="G375" s="2"/>
      </tp>
      <tp>
        <v>-1.7381</v>
        <stp/>
        <stp>BDP|14834406235767859750|22</stp>
        <stp>GEV UN Equity</stp>
        <stp>CHG_PCT_1M_RT</stp>
        <tr r="H208" s="2"/>
      </tp>
      <tp>
        <v>-2.3578000000000001</v>
        <stp/>
        <stp>BDP|11397625131885596729|22</stp>
        <stp>FDX UN Equity</stp>
        <stp>CHG_PCT_1M_RT</stp>
        <tr r="H189" s="2"/>
      </tp>
      <tp>
        <v>-6.3327</v>
        <stp/>
        <stp>BDP|14476745098131888728|22</stp>
        <stp>CRL UN Equity</stp>
        <stp>CHG_PCT_1M_RT</stp>
        <tr r="H117" s="2"/>
      </tp>
      <tp>
        <v>-5.4588000000000001</v>
        <stp/>
        <stp>BDP|12293782296526183767|22</stp>
        <stp>NSC UN Equity</stp>
        <stp>CHG_PCT_1M_RT</stp>
        <tr r="H346" s="2"/>
      </tp>
      <tp>
        <v>1.8424</v>
        <stp/>
        <stp>BDP|15977907933230170831|22</stp>
        <stp>XYL UN Equity</stp>
        <stp>REALTIME_5_DAY_CHANGE_PERCENT</stp>
        <tr r="G503" s="2"/>
      </tp>
      <tp>
        <v>-5.8341000000000003</v>
        <stp/>
        <stp>BDP|11684560745149970783|22</stp>
        <stp>IQV UN Equity</stp>
        <stp>CHG_PCT_1M_RT</stp>
        <tr r="H253" s="2"/>
      </tp>
      <tp>
        <v>2.1898</v>
        <stp/>
        <stp>BDP|12975516563262163117|22</stp>
        <stp>KDP UW Equity</stp>
        <stp>CHG_PCT_1M_RT</stp>
        <tr r="H269" s="2"/>
      </tp>
      <tp>
        <v>-2.4845999999999999</v>
        <stp/>
        <stp>BDP|10529216103311521847|22</stp>
        <stp>FRT UN Equity</stp>
        <stp>CHG_PCT_3M_RT</stp>
        <tr r="I199" s="2"/>
      </tp>
      <tp>
        <v>21.411000000000001</v>
        <stp/>
        <stp>BDP|11778086729317598418|22</stp>
        <stp>HWM UN Equity</stp>
        <stp>CHG_PCT_3M_RT</stp>
        <tr r="I241" s="2"/>
      </tp>
      <tp>
        <v>0.13270000000000001</v>
        <stp/>
        <stp>BDP|17113232655008369718|22</stp>
        <stp>BXP UN Equity</stp>
        <stp>CHG_PCT_1M_RT</stp>
        <tr r="H77" s="2"/>
      </tp>
      <tp>
        <v>0.31659999999999999</v>
        <stp/>
        <stp>BDP|12810979844539160704|22</stp>
        <stp>ESS UN Equity</stp>
        <stp>CHG_PCT_3M_RT</stp>
        <tr r="I175" s="2"/>
      </tp>
      <tp>
        <v>-3.9420999999999999</v>
        <stp/>
        <stp>BDP|2111131094134282998|22</stp>
        <stp>SO UN Equity</stp>
        <stp>REALTIME_5_DAY_CHANGE_PERCENT</stp>
        <tr r="G420" s="2"/>
      </tp>
      <tp>
        <v>-3.8129000663757324</v>
        <stp/>
        <stp>BDP|220574684955836747|22</stp>
        <stp>TRGP UN Equity</stp>
        <stp>RT_PX_CHG_PCT_1D</stp>
        <tr r="F451" s="2"/>
      </tp>
      <tp>
        <v>-0.67040002346038818</v>
        <stp/>
        <stp>BDP|16158467895377673994|22</stp>
        <stp>AMAT UW Equity</stp>
        <stp>RT_PX_CHG_PCT_1D</stp>
        <tr r="F29" s="2"/>
      </tp>
      <tp>
        <v>0.66909998655319214</v>
        <stp/>
        <stp>BDP|12254501845394791020|22</stp>
        <stp>ALLE UN Equity</stp>
        <stp>RT_PX_CHG_PCT_1D</stp>
        <tr r="F28" s="2"/>
      </tp>
      <tp>
        <v>0.76800000667572021</v>
        <stp/>
        <stp>BDP|18026418663381857233|22</stp>
        <stp>JBHT UW Equity</stp>
        <stp>RT_PX_CHG_PCT_1D</stp>
        <tr r="F261" s="2"/>
      </tp>
      <tp>
        <v>0.21570000052452087</v>
        <stp/>
        <stp>BDP|11097918387697379916|22</stp>
        <stp>ABBV UN Equity</stp>
        <stp>RT_PX_CHG_PCT_1D</stp>
        <tr r="F7" s="2"/>
      </tp>
      <tp>
        <v>0.27300000190734863</v>
        <stp/>
        <stp>BDP|15200952790764215226|22</stp>
        <stp>ADSK UW Equity</stp>
        <stp>RT_PX_CHG_PCT_1D</stp>
        <tr r="F16" s="2"/>
      </tp>
      <tp>
        <v>-36.023200000000003</v>
        <stp/>
        <stp>BDP|14350929069529321302|22</stp>
        <stp>APTV UN Equity</stp>
        <stp>CHG_PCT_YTD_RT</stp>
        <tr r="J45" s="2"/>
      </tp>
      <tp>
        <v>19.3645</v>
        <stp/>
        <stp>BDP|13499078022372999610|22</stp>
        <stp>TROW UW Equity</stp>
        <stp>CHG_PCT_3M_RT</stp>
        <tr r="I453" s="2"/>
      </tp>
      <tp>
        <v>31.1996</v>
        <stp/>
        <stp>BDP|14562744924760663389|22</stp>
        <stp>LULU UW Equity</stp>
        <stp>CHG_PCT_1M_RT</stp>
        <tr r="H294" s="2"/>
      </tp>
      <tp>
        <v>3.3660000000000001</v>
        <stp/>
        <stp>BDP|11285919913269754926|22</stp>
        <stp>REGN UW Equity</stp>
        <stp>REALTIME_5_DAY_CHANGE_PERCENT</stp>
        <tr r="G399" s="2"/>
      </tp>
      <tp>
        <v>16.491900000000001</v>
        <stp/>
        <stp>BDP|11292574228798464804|22</stp>
        <stp>EQIX UW Equity</stp>
        <stp>CHG_PCT_3M_RT</stp>
        <tr r="I170" s="2"/>
      </tp>
      <tp>
        <v>-4.0632999999999999</v>
        <stp/>
        <stp>BDP|15656202471810873338|22</stp>
        <stp>HOLX UW Equity</stp>
        <stp>REALTIME_5_DAY_CHANGE_PERCENT</stp>
        <tr r="G231" s="2"/>
      </tp>
      <tp>
        <v>4.2392000000000003</v>
        <stp/>
        <stp>BDP|11777188169016957261|22</stp>
        <stp>JNPR UN Equity</stp>
        <stp>REALTIME_5_DAY_CHANGE_PERCENT</stp>
        <tr r="G266" s="2"/>
      </tp>
      <tp>
        <v>7.0411999999999999</v>
        <stp/>
        <stp>BDP|577704432798653555|22</stp>
        <stp>SRE UN Equity</stp>
        <stp>CHG_PCT_3M_RT</stp>
        <tr r="I424" s="2"/>
      </tp>
      <tp>
        <v>21.346699999999998</v>
        <stp/>
        <stp>BDP|17939144360071914535|22</stp>
        <stp>TSLA UW Equity</stp>
        <stp>CHG_PCT_1M_RT</stp>
        <tr r="H456" s="2"/>
      </tp>
      <tp>
        <v>1.6281000000000001</v>
        <stp/>
        <stp>BDP|11924177533284164301|22</stp>
        <stp>CSGP UW Equity</stp>
        <stp>CHG_PCT_1M_RT</stp>
        <tr r="H121" s="2"/>
      </tp>
      <tp>
        <v>0.47110000000000002</v>
        <stp/>
        <stp>BDP|719643847004433088|22</stp>
        <stp>CME UW Equity</stp>
        <stp>REALTIME_5_DAY_CHANGE_PERCENT</stp>
        <tr r="G102" s="2"/>
      </tp>
      <tp>
        <v>2.5752000000000002</v>
        <stp/>
        <stp>BDP|643659768242773043|22</stp>
        <stp>BLK UN Equity</stp>
        <stp>REALTIME_5_DAY_CHANGE_PERCENT</stp>
        <tr r="G69" s="2"/>
      </tp>
      <tp>
        <v>-10.031499999999999</v>
        <stp/>
        <stp>BDP|10606328639148110620|22</stp>
        <stp>UBER UN Equity</stp>
        <stp>REALTIME_5_DAY_CHANGE_PERCENT</stp>
        <tr r="G464" s="2"/>
      </tp>
      <tp>
        <v>10.1671</v>
        <stp/>
        <stp>BDP|13033464952491014643|22</stp>
        <stp>VRSN UW Equity</stp>
        <stp>CHG_PCT_3M_RT</stp>
        <tr r="I479" s="2"/>
      </tp>
      <tp>
        <v>29.875599999999999</v>
        <stp/>
        <stp>BDP|17133402856486484528|22</stp>
        <stp>TRGP UN Equity</stp>
        <stp>CHG_PCT_3M_RT</stp>
        <tr r="I451" s="2"/>
      </tp>
      <tp>
        <v>-1.6618999999999999</v>
        <stp/>
        <stp>BDP|14376921689197511261|22</stp>
        <stp>DLTR UW Equity</stp>
        <stp>REALTIME_5_DAY_CHANGE_PERCENT</stp>
        <tr r="G145" s="2"/>
      </tp>
      <tp>
        <v>28.005199999999999</v>
        <stp/>
        <stp>BDP|858712282851106618|22</stp>
        <stp>SNA UN Equity</stp>
        <stp>CHG_PCT_3M_RT</stp>
        <tr r="I418" s="2"/>
      </tp>
      <tp>
        <v>3.2515999999999998</v>
        <stp/>
        <stp>BDP|11062530784247867808|22</stp>
        <stp>NTRS UW Equity</stp>
        <stp>CHG_PCT_1M_RT</stp>
        <tr r="H348" s="2"/>
      </tp>
      <tp>
        <v>-20.805599999999998</v>
        <stp/>
        <stp>BDP|8034045946773667978|22</stp>
        <stp>BF/B UN Equity</stp>
        <stp>CHG_PCT_YTD_RT</stp>
        <tr r="J62" s="2"/>
      </tp>
      <tp>
        <v>19.8918</v>
        <stp/>
        <stp>BDP|15930754707323708407|22</stp>
        <stp>GRMN UN Equity</stp>
        <stp>CHG_PCT_3M_RT</stp>
        <tr r="I219" s="2"/>
      </tp>
      <tp>
        <v>13.5367</v>
        <stp/>
        <stp>BDP|11495735311025506210|22</stp>
        <stp>MLM UN Equity</stp>
        <stp>CHG_PCT_3M_RT</stp>
        <tr r="I316" s="2"/>
      </tp>
      <tp>
        <v>8.1483000000000008</v>
        <stp/>
        <stp>BDP|14002490090931425006|22</stp>
        <stp>KMX UN Equity</stp>
        <stp>CHG_PCT_3M_RT</stp>
        <tr r="I278" s="2"/>
      </tp>
      <tp>
        <v>7.6173999999999999</v>
        <stp/>
        <stp>BDP|17155112158716623058|22</stp>
        <stp>IBM UN Equity</stp>
        <stp>CHG_PCT_1M_RT</stp>
        <tr r="H242" s="2"/>
      </tp>
      <tp>
        <v>16.473099999999999</v>
        <stp/>
        <stp>BDP|14257009038995208064|22</stp>
        <stp>IEX UN Equity</stp>
        <stp>CHG_PCT_3M_RT</stp>
        <tr r="I245" s="2"/>
      </tp>
      <tp>
        <v>7.7836999999999996</v>
        <stp/>
        <stp>BDP|13315698187015249994|22</stp>
        <stp>CAH UN Equity</stp>
        <stp>CHG_PCT_3M_RT</stp>
        <tr r="I80" s="2"/>
      </tp>
      <tp>
        <v>-0.71179999999999999</v>
        <stp/>
        <stp>BDP|17140728702999274072|22</stp>
        <stp>ETN UN Equity</stp>
        <stp>CHG_PCT_1M_RT</stp>
        <tr r="H176" s="2"/>
      </tp>
      <tp>
        <v>-9.3668999999999993</v>
        <stp/>
        <stp>BDP|10846706724876915366|22</stp>
        <stp>LYB UN Equity</stp>
        <stp>CHG_PCT_1M_RT</stp>
        <tr r="H298" s="2"/>
      </tp>
      <tp>
        <v>0.70650000000000002</v>
        <stp/>
        <stp>BDP|16350823051407884568|22</stp>
        <stp>PPG UN Equity</stp>
        <stp>REALTIME_5_DAY_CHANGE_PERCENT</stp>
        <tr r="G387" s="2"/>
      </tp>
      <tp>
        <v>-3.8788</v>
        <stp/>
        <stp>BDP|11749539801926547918|22</stp>
        <stp>KHC UW Equity</stp>
        <stp>CHG_PCT_1M_RT</stp>
        <tr r="H272" s="2"/>
      </tp>
      <tp>
        <v>-2.0085000000000002</v>
        <stp/>
        <stp>BDP|11799290472454899020|22</stp>
        <stp>NVR UN Equity</stp>
        <stp>CHG_PCT_1M_RT</stp>
        <tr r="H351" s="2"/>
      </tp>
      <tp>
        <v>-0.32490000000000002</v>
        <stp/>
        <stp>BDP|14521121425152681575|22</stp>
        <stp>NVR UN Equity</stp>
        <stp>CHG_PCT_3M_RT</stp>
        <tr r="I351" s="2"/>
      </tp>
      <tp>
        <v>-1.4758</v>
        <stp/>
        <stp>BDP|11580634388208884539|22</stp>
        <stp>STE UN Equity</stp>
        <stp>REALTIME_5_DAY_CHANGE_PERCENT</stp>
        <tr r="G425" s="2"/>
      </tp>
      <tp>
        <v>-0.65249999999999997</v>
        <stp/>
        <stp>BDP|16237385942606249334|22</stp>
        <stp>HUM UN Equity</stp>
        <stp>CHG_PCT_1M_RT</stp>
        <tr r="H240" s="2"/>
      </tp>
      <tp>
        <v>-3.3982000000000001</v>
        <stp/>
        <stp>BDP|1454426873002222251|22</stp>
        <stp>WM UN Equity</stp>
        <stp>REALTIME_5_DAY_CHANGE_PERCENT</stp>
        <tr r="G493" s="2"/>
      </tp>
      <tp>
        <v>25.665199999999999</v>
        <stp/>
        <stp>BDP|13256006488248109536|22</stp>
        <stp>GOOG UW Equity</stp>
        <stp>CHG_PCT_YTD_RT</stp>
        <tr r="J215" s="2"/>
      </tp>
      <tp>
        <v>1.5328999999999999</v>
        <stp/>
        <stp>BDP|15052525007087770242|22</stp>
        <stp>CSCO UW Equity</stp>
        <stp>CHG_PCT_1M_RT</stp>
        <tr r="H120" s="2"/>
      </tp>
      <tp>
        <v>11.3438</v>
        <stp/>
        <stp>BDP|13793744819942619513|22</stp>
        <stp>NTAP UW Equity</stp>
        <stp>CHG_PCT_3M_RT</stp>
        <tr r="I347" s="2"/>
      </tp>
      <tp>
        <v>-6.2232000000000003</v>
        <stp/>
        <stp>BDP|15870751602674265607|22</stp>
        <stp>AMAT UW Equity</stp>
        <stp>REALTIME_5_DAY_CHANGE_PERCENT</stp>
        <tr r="G29" s="2"/>
      </tp>
      <tp>
        <v>-0.16</v>
        <stp/>
        <stp>BDP|14780429581796682146|22</stp>
        <stp>ABNB UW Equity</stp>
        <stp>REALTIME_5_DAY_CHANGE_PERCENT</stp>
        <tr r="G8" s="2"/>
      </tp>
      <tp>
        <v>-2.46E-2</v>
        <stp/>
        <stp>BDP|13412710346200712470|22</stp>
        <stp>VRSK UW Equity</stp>
        <stp>CHG_PCT_1M_RT</stp>
        <tr r="H478" s="2"/>
      </tp>
      <tp>
        <v>7.1417999999999999</v>
        <stp/>
        <stp>BDP|13000508893083196881|22</stp>
        <stp>CRWD UW Equity</stp>
        <stp>CHG_PCT_1M_RT</stp>
        <tr r="H119" s="2"/>
      </tp>
      <tp>
        <v>43.401699999999998</v>
        <stp/>
        <stp>BDP|14333313565755933018|22</stp>
        <stp>CRWD UW Equity</stp>
        <stp>CHG_PCT_3M_RT</stp>
        <tr r="I119" s="2"/>
      </tp>
      <tp>
        <v>-7.0602</v>
        <stp/>
        <stp>BDP|11821512374903207431|22</stp>
        <stp>UHS UN Equity</stp>
        <stp>CHG_PCT_1M_RT</stp>
        <tr r="H466" s="2"/>
      </tp>
      <tp>
        <v>3.0535999999999999</v>
        <stp/>
        <stp>BDP|12260406772985189980|22</stp>
        <stp>MCD UN Equity</stp>
        <stp>REALTIME_5_DAY_CHANGE_PERCENT</stp>
        <tr r="G304" s="2"/>
      </tp>
      <tp>
        <v>-1.8411</v>
        <stp/>
        <stp>BDP|11768186302489169787|22</stp>
        <stp>AEE UN Equity</stp>
        <stp>REALTIME_5_DAY_CHANGE_PERCENT</stp>
        <tr r="G17" s="2"/>
      </tp>
      <tp>
        <v>-6.8460999999999999</v>
        <stp/>
        <stp>BDP|16215296044410590334|22</stp>
        <stp>TDG UN Equity</stp>
        <stp>CHG_PCT_1M_RT</stp>
        <tr r="H438" s="2"/>
      </tp>
      <tp>
        <v>4.9370000000000003</v>
        <stp/>
        <stp>BDP|11254125083478464977|22</stp>
        <stp>WRB UN Equity</stp>
        <stp>CHG_PCT_3M_RT</stp>
        <tr r="I496" s="2"/>
      </tp>
      <tp>
        <v>-3.3824999999999998</v>
        <stp/>
        <stp>BDP|14061558740933387443|22</stp>
        <stp>ROP UW Equity</stp>
        <stp>CHG_PCT_1M_RT</stp>
        <tr r="H406" s="2"/>
      </tp>
      <tp>
        <v>24619</v>
        <stp/>
        <stp>BDP|15051629866831821178|22</stp>
        <stp>NIFTY Index</stp>
        <stp>LAST_PRICE</stp>
        <tr r="C533" s="2"/>
        <tr r="D533" s="2"/>
        <tr r="E533" s="2"/>
        <tr r="B533" s="2"/>
      </tp>
      <tp>
        <v>-5.1219999999999999</v>
        <stp/>
        <stp>BDP|16387851747967552752|22</stp>
        <stp>TXT UN Equity</stp>
        <stp>CHG_PCT_3M_RT</stp>
        <tr r="I461" s="2"/>
      </tp>
      <tp>
        <v>-8.1143999999999998</v>
        <stp/>
        <stp>BDP|9781339797320935745|22</stp>
        <stp>MU UW Equity</stp>
        <stp>CHG_PCT_1M_RT</stp>
        <tr r="H334" s="2"/>
      </tp>
      <tp>
        <v>104.26</v>
        <stp/>
        <stp>BDP|6687504890517730167|22</stp>
        <stp>GL UN Equity</stp>
        <stp>LAST_PRICE</stp>
        <tr r="E211" s="2"/>
        <tr r="B211" s="2"/>
        <tr r="C211" s="2"/>
        <tr r="D211" s="2"/>
      </tp>
      <tp>
        <v>4.6067999999999998</v>
        <stp/>
        <stp>BDP|8112110372311677791|22</stp>
        <stp>BK UN Equity</stp>
        <stp>CHG_PCT_1M_RT</stp>
        <tr r="H65" s="2"/>
      </tp>
      <tp>
        <v>-6.0176999999999996</v>
        <stp/>
        <stp>BDP|7564463696671555142|22</stp>
        <stp>EL UN Equity</stp>
        <stp>CHG_PCT_3M_RT</stp>
        <tr r="I163" s="2"/>
      </tp>
      <tp>
        <v>-3.7067000000000001</v>
        <stp/>
        <stp>BDP|5015256474331792469|22</stp>
        <stp>FI UN Equity</stp>
        <stp>CHG_PCT_1M_RT</stp>
        <tr r="H192" s="2"/>
      </tp>
      <tp>
        <v>28.161799999999999</v>
        <stp/>
        <stp>BDP|16807065236841151515|22</stp>
        <stp>AAPL UW Equity</stp>
        <stp>CHG_PCT_YTD_RT</stp>
        <tr r="J6" s="2"/>
      </tp>
      <tp t="s">
        <v>#N/A N/A</v>
        <stp/>
        <stp>BDP|12999552694820349616|22</stp>
        <stp>PLTR UQ Equity</stp>
        <stp>CHG_PCT_YTD_RT</stp>
        <tr r="J380" s="2"/>
      </tp>
      <tp>
        <v>16.488499999999998</v>
        <stp/>
        <stp>BDP|12496440859821221370|22</stp>
        <stp>VRTX UW Equity</stp>
        <stp>CHG_PCT_YTD_RT</stp>
        <tr r="J480" s="2"/>
      </tp>
      <tp>
        <v>0.14640000462532043</v>
        <stp/>
        <stp>BDP|11314355163196733633|22</stp>
        <stp>TSLA UW Equity</stp>
        <stp>RT_PX_CHG_PCT_1D</stp>
        <tr r="F456" s="2"/>
      </tp>
      <tp>
        <v>4.1740000000000004</v>
        <stp/>
        <stp>BDP|15417955070718310197|22</stp>
        <stp>BKNG UW Equity</stp>
        <stp>CHG_PCT_1M_RT</stp>
        <tr r="H66" s="2"/>
      </tp>
      <tp>
        <v>1.0273000001907349</v>
        <stp/>
        <stp>BDP|4106314153805937621|22</stp>
        <stp>PPG UN Equity</stp>
        <stp>RT_PX_CHG_PCT_1D</stp>
        <tr r="F387" s="2"/>
      </tp>
      <tp>
        <v>-1.9539999961853027</v>
        <stp/>
        <stp>BDP|7270468217015417260|22</stp>
        <stp>WMT UN Equity</stp>
        <stp>RT_PX_CHG_PCT_1D</stp>
        <tr r="F495" s="2"/>
      </tp>
      <tp>
        <v>-5.9504999999999999</v>
        <stp/>
        <stp>BDP|13133951645727994381|22</stp>
        <stp>QCOM UW Equity</stp>
        <stp>CHG_PCT_1M_RT</stp>
        <tr r="H395" s="2"/>
      </tp>
      <tp>
        <v>-10.0685</v>
        <stp/>
        <stp>BDP|657609042576979543|22</stp>
        <stp>MRK UN Equity</stp>
        <stp>CHG_PCT_3M_RT</stp>
        <tr r="I325" s="2"/>
      </tp>
      <tp>
        <v>1.4860999584197998</v>
        <stp/>
        <stp>BDP|5434264061034216318|22</stp>
        <stp>DVN UN Equity</stp>
        <stp>RT_PX_CHG_PCT_1D</stp>
        <tr r="F154" s="2"/>
      </tp>
      <tp>
        <v>-5.5537000000000001</v>
        <stp/>
        <stp>BDP|10700677546001163192|22</stp>
        <stp>CPAY UN Equity</stp>
        <stp>REALTIME_5_DAY_CHANGE_PERCENT</stp>
        <tr r="G113" s="2"/>
      </tp>
      <tp>
        <v>0.74470001459121704</v>
        <stp/>
        <stp>BDP|4039398791856092744|22</stp>
        <stp>HST UW Equity</stp>
        <stp>RT_PX_CHG_PCT_1D</stp>
        <tr r="F237" s="2"/>
      </tp>
      <tp>
        <v>-5.673</v>
        <stp/>
        <stp>BDP|171988858583533450|22</stp>
        <stp>FCX UN Equity</stp>
        <stp>CHG_PCT_1M_RT</stp>
        <tr r="H187" s="2"/>
      </tp>
      <tp>
        <v>0.91920000000000002</v>
        <stp/>
        <stp>BDP|276902257276873965|22</stp>
        <stp>DFS UN Equity</stp>
        <stp>CHG_PCT_1M_RT</stp>
        <tr r="H138" s="2"/>
      </tp>
      <tp>
        <v>-2.6100000366568565E-2</v>
        <stp/>
        <stp>BDP|6985931596424675614|22</stp>
        <stp>IEX UN Equity</stp>
        <stp>RT_PX_CHG_PCT_1D</stp>
        <tr r="F245" s="2"/>
      </tp>
      <tp>
        <v>14.7714</v>
        <stp/>
        <stp>BDP|13346882157212344089|22</stp>
        <stp>DECK UN Equity</stp>
        <stp>CHG_PCT_1M_RT</stp>
        <tr r="H136" s="2"/>
      </tp>
      <tp>
        <v>1.7714000000000001</v>
        <stp/>
        <stp>BDP|11808639630626058250|22</stp>
        <stp>VRTX UW Equity</stp>
        <stp>REALTIME_5_DAY_CHANGE_PERCENT</stp>
        <tr r="G480" s="2"/>
      </tp>
      <tp>
        <v>-3.5820999145507813</v>
        <stp/>
        <stp>BDP|9448407195007599424|22</stp>
        <stp>KKR UN Equity</stp>
        <stp>RT_PX_CHG_PCT_1D</stp>
        <tr r="F274" s="2"/>
      </tp>
      <tp>
        <v>-0.22270000000000001</v>
        <stp/>
        <stp>BDP|16997268117024701748|22</stp>
        <stp>CTSH UW Equity</stp>
        <stp>REALTIME_5_DAY_CHANGE_PERCENT</stp>
        <tr r="G126" s="2"/>
      </tp>
      <tp>
        <v>-0.19570000000000001</v>
        <stp/>
        <stp>BDP|13416157263472200238|22</stp>
        <stp>AMCR UN Equity</stp>
        <stp>CHG_PCT_1M_RT</stp>
        <tr r="H30" s="2"/>
      </tp>
      <tp>
        <v>-0.38690000000000002</v>
        <stp/>
        <stp>BDP|17495187817392859480|22</stp>
        <stp>CHRW UW Equity</stp>
        <stp>CHG_PCT_1M_RT</stp>
        <tr r="H95" s="2"/>
      </tp>
      <tp>
        <v>-11.2547</v>
        <stp/>
        <stp>BDP|10063238075718983432|22</stp>
        <stp>PFE UN Equity</stp>
        <stp>CHG_PCT_3M_RT</stp>
        <tr r="I372" s="2"/>
      </tp>
      <tp>
        <v>13.457599999999999</v>
        <stp/>
        <stp>BDP|16941061618088196612|22</stp>
        <stp>MERVAL Index</stp>
        <stp>CHG_PCT_1M_RT</stp>
        <tr r="H514" s="2"/>
      </tp>
      <tp>
        <v>-1.2391000000000001</v>
        <stp/>
        <stp>BDP|12223222369019190482|22</stp>
        <stp>KMI UN Equity</stp>
        <stp>REALTIME_5_DAY_CHANGE_PERCENT</stp>
        <tr r="G277" s="2"/>
      </tp>
      <tp>
        <v>-2.3576999999999999</v>
        <stp/>
        <stp>BDP|17352155625754358778|22</stp>
        <stp>CFG UN Equity</stp>
        <stp>REALTIME_5_DAY_CHANGE_PERCENT</stp>
        <tr r="G93" s="2"/>
      </tp>
      <tp>
        <v>-2.9891999999999999</v>
        <stp/>
        <stp>BDP|16041651864789112376|22</stp>
        <stp>ROL UN Equity</stp>
        <stp>CHG_PCT_1M_RT</stp>
        <tr r="H405" s="2"/>
      </tp>
      <tp>
        <v>-6.9969000000000001</v>
        <stp/>
        <stp>BDP|14692828253560702456|22</stp>
        <stp>UNP UN Equity</stp>
        <stp>CHG_PCT_3M_RT</stp>
        <tr r="I469" s="2"/>
      </tp>
      <tp>
        <v>0.91590000000000005</v>
        <stp/>
        <stp>BDP|11660073668767773047|22</stp>
        <stp>REG UW Equity</stp>
        <stp>CHG_PCT_1M_RT</stp>
        <tr r="H398" s="2"/>
      </tp>
      <tp>
        <v>-0.23269999999999999</v>
        <stp/>
        <stp>BDP|15273069449337311785|22</stp>
        <stp>TYL UN Equity</stp>
        <stp>CHG_PCT_1M_RT</stp>
        <tr r="H462" s="2"/>
      </tp>
      <tp>
        <v>-5.9626999999999999</v>
        <stp/>
        <stp>BDP|17554995506121620532|22</stp>
        <stp>IRM UN Equity</stp>
        <stp>REALTIME_5_DAY_CHANGE_PERCENT</stp>
        <tr r="G255" s="2"/>
      </tp>
      <tp>
        <v>-3.5000000000000003E-2</v>
        <stp/>
        <stp>BDP|14138580846388854635|22</stp>
        <stp>FRT UN Equity</stp>
        <stp>REALTIME_5_DAY_CHANGE_PERCENT</stp>
        <tr r="G199" s="2"/>
      </tp>
      <tp>
        <v>41.0214</v>
        <stp/>
        <stp>BDP|17873899741117647086|22</stp>
        <stp>SYF UN Equity</stp>
        <stp>CHG_PCT_3M_RT</stp>
        <tr r="I433" s="2"/>
      </tp>
      <tp>
        <v>15.0327</v>
        <stp/>
        <stp>BDP|12601387684344355081|22</stp>
        <stp>WBD UW Equity</stp>
        <stp>CHG_PCT_1M_RT</stp>
        <tr r="H488" s="2"/>
      </tp>
      <tp>
        <v>-5.0948000000000002</v>
        <stp/>
        <stp>BDP|13256762275387725121|22</stp>
        <stp>CVS UN Equity</stp>
        <stp>REALTIME_5_DAY_CHANGE_PERCENT</stp>
        <tr r="G128" s="2"/>
      </tp>
      <tp>
        <v>-0.47039999999999998</v>
        <stp/>
        <stp>BDP|1681436067883666865|22</stp>
        <stp>WY UN Equity</stp>
        <stp>CHG_PCT_1M_RT</stp>
        <tr r="H499" s="2"/>
      </tp>
      <tp>
        <v>-12.893000000000001</v>
        <stp/>
        <stp>BDP|6033136176151517160|22</stp>
        <stp>GD UN Equity</stp>
        <stp>CHG_PCT_1M_RT</stp>
        <tr r="H203" s="2"/>
      </tp>
      <tp>
        <v>-1.873</v>
        <stp/>
        <stp>BDP|5924637482475514305|22</stp>
        <stp>ES UN Equity</stp>
        <stp>CHG_PCT_1M_RT</stp>
        <tr r="H174" s="2"/>
      </tp>
      <tp>
        <v>0.99970000000000003</v>
        <stp/>
        <stp>BDP|4290173449290055699|22</stp>
        <stp>FBMKLCI Index</stp>
        <stp>REALTIME_5_DAY_CHANGE_PERCENT</stp>
        <tr r="G536" s="2"/>
      </tp>
      <tp>
        <v>19.2791</v>
        <stp/>
        <stp>BDP|17487776672684899432|22</stp>
        <stp>VRSK UW Equity</stp>
        <stp>CHG_PCT_YTD_RT</stp>
        <tr r="J478" s="2"/>
      </tp>
      <tp>
        <v>12.898300000000001</v>
        <stp/>
        <stp>BDP|12868121833719119120|22</stp>
        <stp>ROST UW Equity</stp>
        <stp>CHG_PCT_YTD_RT</stp>
        <tr r="J407" s="2"/>
      </tp>
      <tp>
        <v>5.9602000000000004</v>
        <stp/>
        <stp>BDP|13551358952737108576|22</stp>
        <stp>BLDR UN Equity</stp>
        <stp>CHG_PCT_YTD_RT</stp>
        <tr r="J68" s="2"/>
      </tp>
      <tp>
        <v>2.0725998878479004</v>
        <stp/>
        <stp>BDP|1094945401306203750|22</stp>
        <stp>WAT UN Equity</stp>
        <stp>RT_PX_CHG_PCT_1D</stp>
        <tr r="F486" s="2"/>
      </tp>
      <tp>
        <v>-3.160599946975708</v>
        <stp/>
        <stp>BDP|7022124039378591113|22</stp>
        <stp>PRU UN Equity</stp>
        <stp>RT_PX_CHG_PCT_1D</stp>
        <tr r="F389" s="2"/>
      </tp>
      <tp>
        <v>-12.011100000000001</v>
        <stp/>
        <stp>BDP|419103779078587674|22</stp>
        <stp>KHC UW Equity</stp>
        <stp>CHG_PCT_3M_RT</stp>
        <tr r="I272" s="2"/>
      </tp>
      <tp>
        <v>-3.8092000000000001</v>
        <stp/>
        <stp>BDP|13501878092577990545|22</stp>
        <stp>FSLR UW Equity</stp>
        <stp>REALTIME_5_DAY_CHANGE_PERCENT</stp>
        <tr r="G200" s="2"/>
      </tp>
      <tp>
        <v>-2.2156000137329102</v>
        <stp/>
        <stp>BDP|9038590383870201214|22</stp>
        <stp>PFG UW Equity</stp>
        <stp>RT_PX_CHG_PCT_1D</stp>
        <tr r="F373" s="2"/>
      </tp>
      <tp>
        <v>0.64800000000000002</v>
        <stp/>
        <stp>BDP|13865615121237847104|22</stp>
        <stp>ORLY UW Equity</stp>
        <stp>REALTIME_5_DAY_CHANGE_PERCENT</stp>
        <tr r="G361" s="2"/>
      </tp>
      <tp>
        <v>11.0764</v>
        <stp/>
        <stp>BDP|412474203242048064|22</stp>
        <stp>ITW UN Equity</stp>
        <stp>CHG_PCT_3M_RT</stp>
        <tr r="I258" s="2"/>
      </tp>
      <tp>
        <v>2.0773999999999999</v>
        <stp/>
        <stp>BDP|11245501933604152469|22</stp>
        <stp>POOL UW Equity</stp>
        <stp>CHG_PCT_1M_RT</stp>
        <tr r="H386" s="2"/>
      </tp>
      <tp>
        <v>11.697100000000001</v>
        <stp/>
        <stp>BDP|12847984924783023323|22</stp>
        <stp>AAPL UW Equity</stp>
        <stp>CHG_PCT_3M_RT</stp>
        <tr r="I6" s="2"/>
      </tp>
      <tp>
        <v>0.81000000238418579</v>
        <stp/>
        <stp>BDP|1684428541922965710|22</stp>
        <stp>ADI UW Equity</stp>
        <stp>RT_PX_CHG_PCT_1D</stp>
        <tr r="F13" s="2"/>
      </tp>
      <tp>
        <v>25.3657</v>
        <stp/>
        <stp>BDP|18135641637525253980|22</stp>
        <stp>FICO UN Equity</stp>
        <stp>CHG_PCT_3M_RT</stp>
        <tr r="I193" s="2"/>
      </tp>
      <tp>
        <v>-1.7922</v>
        <stp/>
        <stp>BDP|14056332651563496470|22</stp>
        <stp>EVRG UW Equity</stp>
        <stp>REALTIME_5_DAY_CHANGE_PERCENT</stp>
        <tr r="G178" s="2"/>
      </tp>
      <tp>
        <v>-10.1059</v>
        <stp/>
        <stp>BDP|13584809763220664773|22</stp>
        <stp>ABBV UN Equity</stp>
        <stp>CHG_PCT_3M_RT</stp>
        <tr r="I7" s="2"/>
      </tp>
      <tp>
        <v>-2.7978000640869141</v>
        <stp/>
        <stp>BDP|7566554541600736408|22</stp>
        <stp>LLY UN Equity</stp>
        <stp>RT_PX_CHG_PCT_1D</stp>
        <tr r="F289" s="2"/>
      </tp>
      <tp>
        <v>-10.249500274658203</v>
        <stp/>
        <stp>BDP|1404799744553810012|22</stp>
        <stp>OMC UN Equity</stp>
        <stp>RT_PX_CHG_PCT_1D</stp>
        <tr r="F358" s="2"/>
      </tp>
      <tp>
        <v>-2.0797998905181885</v>
        <stp/>
        <stp>BDP|6030228734085349480|22</stp>
        <stp>LHX UN Equity</stp>
        <stp>RT_PX_CHG_PCT_1D</stp>
        <tr r="F286" s="2"/>
      </tp>
      <tp>
        <v>-0.80740000000000001</v>
        <stp/>
        <stp>BDP|17574448872819037094|22</stp>
        <stp>CAT UN Equity</stp>
        <stp>REALTIME_5_DAY_CHANGE_PERCENT</stp>
        <tr r="G82" s="2"/>
      </tp>
      <tp>
        <v>-6.5217000000000001</v>
        <stp/>
        <stp>BDP|12138161617166472355|22</stp>
        <stp>CSX UW Equity</stp>
        <stp>REALTIME_5_DAY_CHANGE_PERCENT</stp>
        <tr r="G122" s="2"/>
      </tp>
      <tp>
        <v>-11.3858</v>
        <stp/>
        <stp>BDP|12203295939704418167|22</stp>
        <stp>PLD UN Equity</stp>
        <stp>CHG_PCT_3M_RT</stp>
        <tr r="I379" s="2"/>
      </tp>
      <tp>
        <v>-2.3203999999999998</v>
        <stp/>
        <stp>BDP|13500008903929729865|22</stp>
        <stp>PFE UN Equity</stp>
        <stp>CHG_PCT_1M_RT</stp>
        <tr r="H372" s="2"/>
      </tp>
      <tp>
        <v>1.1924999999999999</v>
        <stp/>
        <stp>BDP|12089968776469400313|22</stp>
        <stp>ZBH UN Equity</stp>
        <stp>CHG_PCT_1M_RT</stp>
        <tr r="H505" s="2"/>
      </tp>
      <tp>
        <v>21.308700000000002</v>
        <stp/>
        <stp>BDP|14067853431564391346|22</stp>
        <stp>VMC UN Equity</stp>
        <stp>CHG_PCT_3M_RT</stp>
        <tr r="I477" s="2"/>
      </tp>
      <tp>
        <v>-4.133</v>
        <stp/>
        <stp>BDP|13753229248582128844|22</stp>
        <stp>HIG UN Equity</stp>
        <stp>REALTIME_5_DAY_CHANGE_PERCENT</stp>
        <tr r="G228" s="2"/>
      </tp>
      <tp>
        <v>-1.9409000000000001</v>
        <stp/>
        <stp>BDP|14601656374274231095|22</stp>
        <stp>MAA UN Equity</stp>
        <stp>REALTIME_5_DAY_CHANGE_PERCENT</stp>
        <tr r="G301" s="2"/>
      </tp>
      <tp>
        <v>-1.0965</v>
        <stp/>
        <stp>BDP|10200863416281076418|22</stp>
        <stp>CMS UN Equity</stp>
        <stp>REALTIME_5_DAY_CHANGE_PERCENT</stp>
        <tr r="G105" s="2"/>
      </tp>
      <tp>
        <v>8.7529000000000003</v>
        <stp/>
        <stp>BDP|18349633645273359663|22</stp>
        <stp>HPE UN Equity</stp>
        <stp>REALTIME_5_DAY_CHANGE_PERCENT</stp>
        <tr r="G233" s="2"/>
      </tp>
      <tp>
        <v>-2.0998999999999999</v>
        <stp/>
        <stp>BDP|17755955154682990035|22</stp>
        <stp>EQR UN Equity</stp>
        <stp>REALTIME_5_DAY_CHANGE_PERCENT</stp>
        <tr r="G171" s="2"/>
      </tp>
      <tp>
        <v>5.0526</v>
        <stp/>
        <stp>BDP|17020783848802919615|22</stp>
        <stp>SYK UN Equity</stp>
        <stp>CHG_PCT_3M_RT</stp>
        <tr r="I434" s="2"/>
      </tp>
      <tp>
        <v>-2.9523000000000001</v>
        <stp/>
        <stp>BDP|14120941674836342724|22</stp>
        <stp>UPS UN Equity</stp>
        <stp>CHG_PCT_1M_RT</stp>
        <tr r="H470" s="2"/>
      </tp>
      <tp>
        <v>-1.1343000000000001</v>
        <stp/>
        <stp>BDP|15861923255969827437|22</stp>
        <stp>PSA UN Equity</stp>
        <stp>CHG_PCT_1M_RT</stp>
        <tr r="H390" s="2"/>
      </tp>
      <tp>
        <v>1.0186999999999999</v>
        <stp/>
        <stp>BDP|16341941960837221357|22</stp>
        <stp>CDW UW Equity</stp>
        <stp>REALTIME_5_DAY_CHANGE_PERCENT</stp>
        <tr r="G89" s="2"/>
      </tp>
      <tp>
        <v>14.767799999999999</v>
        <stp/>
        <stp>BDP|7136453292702152274|22</stp>
        <stp>EA UW Equity</stp>
        <stp>CHG_PCT_3M_RT</stp>
        <tr r="I156" s="2"/>
      </tp>
      <tp>
        <v>1.4127000000000001</v>
        <stp/>
        <stp>BDP|18056168027753924117|22</stp>
        <stp>NIFTY Index</stp>
        <stp>REALTIME_5_DAY_CHANGE_PERCENT</stp>
        <tr r="G533" s="2"/>
      </tp>
      <tp>
        <v>-39.830500000000001</v>
        <stp/>
        <stp>BDP|1835937386375278886|22</stp>
        <stp>CE UN Equity</stp>
        <stp>CHG_PCT_3M_RT</stp>
        <tr r="I90" s="2"/>
      </tp>
      <tp>
        <v>-10.6082</v>
        <stp/>
        <stp>BDP|3684835579903449686|22</stp>
        <stp>GD UN Equity</stp>
        <stp>CHG_PCT_3M_RT</stp>
        <tr r="I203" s="2"/>
      </tp>
      <tp>
        <v>-1.6709000000000001</v>
        <stp/>
        <stp>BDP|6722147470097119663|22</stp>
        <stp>GOOGL UW Equity</stp>
        <stp>CHG_PCT_1M_RT</stp>
        <tr r="H216" s="2"/>
      </tp>
      <tp>
        <v>-0.15070000290870667</v>
        <stp/>
        <stp>BDP|5963820815976359326|22</stp>
        <stp>TJX UN Equity</stp>
        <stp>RT_PX_CHG_PCT_1D</stp>
        <tr r="F446" s="2"/>
      </tp>
      <tp>
        <v>144</v>
        <stp/>
        <stp>BDP|14480831199539221303|22</stp>
        <stp>A UN Equity</stp>
        <stp>LAST_PRICE</stp>
        <tr r="E5" s="2"/>
        <tr r="B5" s="2"/>
        <tr r="C5" s="2"/>
        <tr r="D5" s="2"/>
      </tp>
      <tp>
        <v>1.0657000541687012</v>
        <stp/>
        <stp>BDP|6698270175711710483|22</stp>
        <stp>REG UW Equity</stp>
        <stp>RT_PX_CHG_PCT_1D</stp>
        <tr r="F398" s="2"/>
      </tp>
      <tp>
        <v>9.5500000000000007</v>
        <stp/>
        <stp>BDP|16515243212473964198|22</stp>
        <stp>ULTA UW Equity</stp>
        <stp>CHG_PCT_3M_RT</stp>
        <tr r="I467" s="2"/>
      </tp>
      <tp>
        <v>4.4637000000000002</v>
        <stp/>
        <stp>BDP|14389579508997995944|22</stp>
        <stp>LDOS UN Equity</stp>
        <stp>CHG_PCT_3M_RT</stp>
        <tr r="I283" s="2"/>
      </tp>
      <tp>
        <v>0.29989999532699585</v>
        <stp/>
        <stp>BDP|1791063032543633970|22</stp>
        <stp>ESS UN Equity</stp>
        <stp>RT_PX_CHG_PCT_1D</stp>
        <tr r="F175" s="2"/>
      </tp>
      <tp>
        <v>2.9725000858306885</v>
        <stp/>
        <stp>BDP|9296525838517565903|22</stp>
        <stp>IVZ UN Equity</stp>
        <stp>RT_PX_CHG_PCT_1D</stp>
        <tr r="F259" s="2"/>
      </tp>
      <tp>
        <v>1.5649</v>
        <stp/>
        <stp>BDP|18425338833993810890|22</stp>
        <stp>MSCI UN Equity</stp>
        <stp>REALTIME_5_DAY_CHANGE_PERCENT</stp>
        <tr r="G328" s="2"/>
      </tp>
      <tp>
        <v>1.764</v>
        <stp/>
        <stp>BDP|13166840708984428901|22</stp>
        <stp>RJF UN Equity</stp>
        <stp>CHG_PCT_1M_RT</stp>
        <tr r="H401" s="2"/>
      </tp>
      <tp>
        <v>0.77190000000000003</v>
        <stp/>
        <stp>BDP|12451639535368016917|22</stp>
        <stp>LOW UN Equity</stp>
        <stp>REALTIME_5_DAY_CHANGE_PERCENT</stp>
        <tr r="G292" s="2"/>
      </tp>
      <tp>
        <v>-4.5724999999999998</v>
        <stp/>
        <stp>BDP|17624176128913797946|22</stp>
        <stp>KKR UN Equity</stp>
        <stp>REALTIME_5_DAY_CHANGE_PERCENT</stp>
        <tr r="G274" s="2"/>
      </tp>
      <tp>
        <v>-3.2921</v>
        <stp/>
        <stp>BDP|13996681075869236203|22</stp>
        <stp>UNP UN Equity</stp>
        <stp>CHG_PCT_1M_RT</stp>
        <tr r="H469" s="2"/>
      </tp>
      <tp>
        <v>9.7082999999999995</v>
        <stp/>
        <stp>BDP|11949523963880189252|22</stp>
        <stp>RCL UN Equity</stp>
        <stp>CHG_PCT_1M_RT</stp>
        <tr r="H397" s="2"/>
      </tp>
      <tp>
        <v>-2.3447</v>
        <stp/>
        <stp>BDP|17718175375082462663|22</stp>
        <stp>IFF UN Equity</stp>
        <stp>REALTIME_5_DAY_CHANGE_PERCENT</stp>
        <tr r="G246" s="2"/>
      </tp>
      <tp>
        <v>-3.1454</v>
        <stp/>
        <stp>BDP|15458929829504839066|22</stp>
        <stp>AIZ UN Equity</stp>
        <stp>REALTIME_5_DAY_CHANGE_PERCENT</stp>
        <tr r="G22" s="2"/>
      </tp>
      <tp>
        <v>-4.532</v>
        <stp/>
        <stp>BDP|14910179186644506434|22</stp>
        <stp>PSA UN Equity</stp>
        <stp>CHG_PCT_3M_RT</stp>
        <tr r="I390" s="2"/>
      </tp>
      <tp>
        <v>9.7246000000000006</v>
        <stp/>
        <stp>BDP|15775349164873295433|22</stp>
        <stp>UAL UW Equity</stp>
        <stp>CHG_PCT_1M_RT</stp>
        <tr r="H463" s="2"/>
      </tp>
      <tp>
        <v>-6.2778</v>
        <stp/>
        <stp>BDP|10656627041308043140|22</stp>
        <stp>VTR UN Equity</stp>
        <stp>CHG_PCT_1M_RT</stp>
        <tr r="H482" s="2"/>
      </tp>
      <tp>
        <v>-2.8824000000000001</v>
        <stp/>
        <stp>BDP|18307075231681481662|22</stp>
        <stp>DUK UN Equity</stp>
        <stp>REALTIME_5_DAY_CHANGE_PERCENT</stp>
        <tr r="G152" s="2"/>
      </tp>
      <tp>
        <v>5.1182999999999996</v>
        <stp/>
        <stp>BDP|12091752440701152401|22</stp>
        <stp>TSN UN Equity</stp>
        <stp>CHG_PCT_1M_RT</stp>
        <tr r="H457" s="2"/>
      </tp>
      <tp>
        <v>31.3432</v>
        <stp/>
        <stp>BDP|7779401598880400069|22</stp>
        <stp>RL UN Equity</stp>
        <stp>CHG_PCT_3M_RT</stp>
        <tr r="I402" s="2"/>
      </tp>
      <tp>
        <v>4.8761999999999999</v>
        <stp/>
        <stp>BDP|3532204856395753366|22</stp>
        <stp>EA UW Equity</stp>
        <stp>CHG_PCT_1M_RT</stp>
        <tr r="H156" s="2"/>
      </tp>
      <tp>
        <v>-9.5178999999999991</v>
        <stp/>
        <stp>BDP|5272360310864215439|22</stp>
        <stp>ED UN Equity</stp>
        <stp>CHG_PCT_3M_RT</stp>
        <tr r="I159" s="2"/>
      </tp>
      <tp>
        <v>-4.8704999999999998</v>
        <stp/>
        <stp>BDP|2653107096892486975|22</stp>
        <stp>EG UN Equity</stp>
        <stp>CHG_PCT_3M_RT</stp>
        <tr r="I161" s="2"/>
      </tp>
      <tp>
        <v>0.95770001411437988</v>
        <stp/>
        <stp>BDP|10243746142688751599|22</stp>
        <stp>SOLV UN Equity</stp>
        <stp>RT_PX_CHG_PCT_1D</stp>
        <tr r="F421" s="2"/>
      </tp>
      <tp>
        <v>48.106099999999998</v>
        <stp/>
        <stp>BDP|10815544144183249871|22</stp>
        <stp>LDOS UN Equity</stp>
        <stp>CHG_PCT_YTD_RT</stp>
        <tr r="J283" s="2"/>
      </tp>
      <tp>
        <v>3.3879001140594482</v>
        <stp/>
        <stp>BDP|6600527782946351376|22</stp>
        <stp>WBA UW Equity</stp>
        <stp>RT_PX_CHG_PCT_1D</stp>
        <tr r="F487" s="2"/>
      </tp>
      <tp>
        <v>-3.6048</v>
        <stp/>
        <stp>BDP|528912231460243640|22</stp>
        <stp>SRE UN Equity</stp>
        <stp>REALTIME_5_DAY_CHANGE_PERCENT</stp>
        <tr r="G424" s="2"/>
      </tp>
      <tp>
        <v>1.2835000000000001</v>
        <stp/>
        <stp>BDP|17014018277319510702|22</stp>
        <stp>NDAQ UW Equity</stp>
        <stp>CHG_PCT_1M_RT</stp>
        <tr r="H336" s="2"/>
      </tp>
      <tp>
        <v>0.51270002126693726</v>
        <stp/>
        <stp>BDP|2332982047875765442|22</stp>
        <stp>SLB UN Equity</stp>
        <stp>RT_PX_CHG_PCT_1D</stp>
        <tr r="F416" s="2"/>
      </tp>
      <tp>
        <v>1.5865000486373901</v>
        <stp/>
        <stp>BDP|1124797755237081642|22</stp>
        <stp>SWK UN Equity</stp>
        <stp>RT_PX_CHG_PCT_1D</stp>
        <tr r="F431" s="2"/>
      </tp>
      <tp>
        <v>-6.2984999999999998</v>
        <stp/>
        <stp>BDP|13124063686171121976|22</stp>
        <stp>ERIE UW Equity</stp>
        <stp>REALTIME_5_DAY_CHANGE_PERCENT</stp>
        <tr r="G173" s="2"/>
      </tp>
      <tp>
        <v>-0.4643000066280365</v>
        <stp/>
        <stp>BDP|9472018966151675454|22</stp>
        <stp>WDC UW Equity</stp>
        <stp>RT_PX_CHG_PCT_1D</stp>
        <tr r="F489" s="2"/>
      </tp>
      <tp>
        <v>-0.98</v>
        <stp/>
        <stp>BDP|15187201469439681162|22</stp>
        <stp>ACGL UW Equity</stp>
        <stp>CHG_PCT_1M_RT</stp>
        <tr r="H10" s="2"/>
      </tp>
      <tp>
        <v>1.3876999616622925</v>
        <stp/>
        <stp>BDP|4108774461319681052|22</stp>
        <stp>RMD UN Equity</stp>
        <stp>RT_PX_CHG_PCT_1D</stp>
        <tr r="F403" s="2"/>
      </tp>
      <tp>
        <v>15.8208</v>
        <stp/>
        <stp>BDP|13008656756136423299|22</stp>
        <stp>INCY UW Equity</stp>
        <stp>CHG_PCT_3M_RT</stp>
        <tr r="I247" s="2"/>
      </tp>
      <tp>
        <v>-0.13850000500679016</v>
        <stp/>
        <stp>BDP|2906411444825920756|22</stp>
        <stp>EQT UN Equity</stp>
        <stp>RT_PX_CHG_PCT_1D</stp>
        <tr r="F172" s="2"/>
      </tp>
      <tp>
        <v>-1.2465000152587891</v>
        <stp/>
        <stp>BDP|9597697402263573916|22</stp>
        <stp>AWK UN Equity</stp>
        <stp>RT_PX_CHG_PCT_1D</stp>
        <tr r="F51" s="2"/>
      </tp>
      <tp>
        <v>8.5007999999999999</v>
        <stp/>
        <stp>BDP|10834098087619748715|22</stp>
        <stp>ULTA UW Equity</stp>
        <stp>CHG_PCT_1M_RT</stp>
        <tr r="H467" s="2"/>
      </tp>
      <tp>
        <v>-0.37549999356269836</v>
        <stp/>
        <stp>BDP|6893211738185418335|22</stp>
        <stp>ECL UN Equity</stp>
        <stp>RT_PX_CHG_PCT_1D</stp>
        <tr r="F158" s="2"/>
      </tp>
      <tp>
        <v>0.71369999647140503</v>
        <stp/>
        <stp>BDP|3197963299646073316|22</stp>
        <stp>CPT UN Equity</stp>
        <stp>RT_PX_CHG_PCT_1D</stp>
        <tr r="F116" s="2"/>
      </tp>
      <tp>
        <v>-1.6380000114440918</v>
        <stp/>
        <stp>BDP|5321898403438324931|22</stp>
        <stp>AJG UN Equity</stp>
        <stp>RT_PX_CHG_PCT_1D</stp>
        <tr r="F23" s="2"/>
      </tp>
      <tp>
        <v>28.899699999999999</v>
        <stp/>
        <stp>BDP|11442686526897109518|22</stp>
        <stp>AMZN UW Equity</stp>
        <stp>CHG_PCT_3M_RT</stp>
        <tr r="I37" s="2"/>
      </tp>
      <tp>
        <v>-2.1526000499725342</v>
        <stp/>
        <stp>BDP|7305528105397871491|22</stp>
        <stp>AFL UN Equity</stp>
        <stp>RT_PX_CHG_PCT_1D</stp>
        <tr r="F20" s="2"/>
      </tp>
      <tp>
        <v>-0.40250000357627869</v>
        <stp/>
        <stp>BDP|9136460206841039635|22</stp>
        <stp>DPZ UN Equity</stp>
        <stp>RT_PX_CHG_PCT_1D</stp>
        <tr r="F149" s="2"/>
      </tp>
      <tp>
        <v>1.8355000019073486</v>
        <stp/>
        <stp>BDP|8122863537949519884|22</stp>
        <stp>CAG UN Equity</stp>
        <stp>RT_PX_CHG_PCT_1D</stp>
        <tr r="F79" s="2"/>
      </tp>
      <tp>
        <v>-1.7968000173568726</v>
        <stp/>
        <stp>BDP|3072145966273856078|22</stp>
        <stp>BAC UN Equity</stp>
        <stp>RT_PX_CHG_PCT_1D</stp>
        <tr r="F56" s="2"/>
      </tp>
      <tp>
        <v>0.76050001382827759</v>
        <stp/>
        <stp>BDP|2947656016880726705|22</stp>
        <stp>AVY UN Equity</stp>
        <stp>RT_PX_CHG_PCT_1D</stp>
        <tr r="F50" s="2"/>
      </tp>
      <tp>
        <v>-13.614599999999999</v>
        <stp/>
        <stp>BDP|683197648356793925|22</stp>
        <stp>DHR UN Equity</stp>
        <stp>CHG_PCT_3M_RT</stp>
        <tr r="I142" s="2"/>
      </tp>
      <tp>
        <v>-2.6299000000000001</v>
        <stp/>
        <stp>BDP|16943247169301782042|22</stp>
        <stp>TMO UN Equity</stp>
        <stp>CHG_PCT_1M_RT</stp>
        <tr r="H447" s="2"/>
      </tp>
      <tp>
        <v>24.563700000000001</v>
        <stp/>
        <stp>BDP|10964678065619126736|22</stp>
        <stp>WAB UN Equity</stp>
        <stp>CHG_PCT_3M_RT</stp>
        <tr r="I485" s="2"/>
      </tp>
      <tp>
        <v>2.0192000000000001</v>
        <stp/>
        <stp>BDP|17972533821563138592|22</stp>
        <stp>PCG UN Equity</stp>
        <stp>CHG_PCT_3M_RT</stp>
        <tr r="I369" s="2"/>
      </tp>
      <tp>
        <v>6.8722000000000003</v>
        <stp/>
        <stp>BDP|11849983536550928486|22</stp>
        <stp>NOW UN Equity</stp>
        <stp>REALTIME_5_DAY_CHANGE_PERCENT</stp>
        <tr r="G344" s="2"/>
      </tp>
      <tp>
        <v>9.8591999999999995</v>
        <stp/>
        <stp>BDP|10080779843284950259|22</stp>
        <stp>TFC UN Equity</stp>
        <stp>CHG_PCT_3M_RT</stp>
        <tr r="I443" s="2"/>
      </tp>
      <tp>
        <v>13.3672</v>
        <stp/>
        <stp>BDP|15624811201115616214|22</stp>
        <stp>USB UN Equity</stp>
        <stp>CHG_PCT_3M_RT</stp>
        <tr r="I472" s="2"/>
      </tp>
      <tp>
        <v>4.1913999999999998</v>
        <stp/>
        <stp>BDP|16366204271347484219|22</stp>
        <stp>PFG UW Equity</stp>
        <stp>CHG_PCT_3M_RT</stp>
        <tr r="I373" s="2"/>
      </tp>
      <tp>
        <v>-2.7677</v>
        <stp/>
        <stp>BDP|16847749308182072748|22</stp>
        <stp>ADP UW Equity</stp>
        <stp>REALTIME_5_DAY_CHANGE_PERCENT</stp>
        <tr r="G15" s="2"/>
      </tp>
      <tp>
        <v>1.8119000000000001</v>
        <stp/>
        <stp>BDP|14731799866082703282|22</stp>
        <stp>MTD UN Equity</stp>
        <stp>REALTIME_5_DAY_CHANGE_PERCENT</stp>
        <tr r="G333" s="2"/>
      </tp>
      <tp>
        <v>-1.4562999999999999</v>
        <stp/>
        <stp>BDP|18013171260799583341|22</stp>
        <stp>DTE UN Equity</stp>
        <stp>REALTIME_5_DAY_CHANGE_PERCENT</stp>
        <tr r="G151" s="2"/>
      </tp>
      <tp>
        <v>-1.3773</v>
        <stp/>
        <stp>BDP|5224760397416664830|22</stp>
        <stp>PH UN Equity</stp>
        <stp>CHG_PCT_1M_RT</stp>
        <tr r="H376" s="2"/>
      </tp>
      <tp>
        <v>-2.1774</v>
        <stp/>
        <stp>BDP|2841042003143277320|22</stp>
        <stp>TT UN Equity</stp>
        <stp>CHG_PCT_1M_RT</stp>
        <tr r="H458" s="2"/>
      </tp>
      <tp>
        <v>171.32</v>
        <stp/>
        <stp>BDP|8847277854006165721|22</stp>
        <stp>GE UN Equity</stp>
        <stp>LAST_PRICE</stp>
        <tr r="C205" s="2"/>
        <tr r="D205" s="2"/>
        <tr r="E205" s="2"/>
        <tr r="B205" s="2"/>
      </tp>
      <tp>
        <v>6714.12</v>
        <stp/>
        <stp>BDP|16794009774850236440|22</stp>
        <stp>IPSA Index</stp>
        <stp>LAST_PRICE</stp>
        <tr r="B512" s="2"/>
        <tr r="C512" s="2"/>
        <tr r="D512" s="2"/>
        <tr r="E512" s="2"/>
      </tp>
      <tp>
        <v>3.3488000000000002</v>
        <stp/>
        <stp>BDP|5733712742680151452|22</stp>
        <stp>MO UN Equity</stp>
        <stp>CHG_PCT_1M_RT</stp>
        <tr r="H320" s="2"/>
      </tp>
      <tp>
        <v>-6.0212000000000003</v>
        <stp/>
        <stp>BDP|6056734415143355345|22</stp>
        <stp>IT UN Equity</stp>
        <stp>CHG_PCT_1M_RT</stp>
        <tr r="H257" s="2"/>
      </tp>
      <tp>
        <v>233.57</v>
        <stp/>
        <stp>BDP|9859208690659465295|22</stp>
        <stp>BR UN Equity</stp>
        <stp>LAST_PRICE</stp>
        <tr r="B71" s="2"/>
        <tr r="E71" s="2"/>
        <tr r="C71" s="2"/>
        <tr r="D71" s="2"/>
      </tp>
      <tp>
        <v>9.4468999999999994</v>
        <stp/>
        <stp>BDP|4128991256183623210|22</stp>
        <stp>NI UN Equity</stp>
        <stp>CHG_PCT_3M_RT</stp>
        <tr r="I341" s="2"/>
      </tp>
      <tp>
        <v>7.8982999999999999</v>
        <stp/>
        <stp>BDP|2559313078777795768|22</stp>
        <stp>EW UN Equity</stp>
        <stp>CHG_PCT_3M_RT</stp>
        <tr r="I179" s="2"/>
      </tp>
      <tp>
        <v>4.9100000411272049E-2</v>
        <stp/>
        <stp>BDP|16206623524697356593|22</stp>
        <stp>SCHW UN Equity</stp>
        <stp>RT_PX_CHG_PCT_1D</stp>
        <tr r="F413" s="2"/>
      </tp>
      <tp>
        <v>46.555900000000001</v>
        <stp/>
        <stp>BDP|15730733616419651386|22</stp>
        <stp>PYPL UW Equity</stp>
        <stp>CHG_PCT_YTD_RT</stp>
        <tr r="J394" s="2"/>
      </tp>
      <tp>
        <v>18.473800000000001</v>
        <stp/>
        <stp>BDP|16274190272640586911|22</stp>
        <stp>SCHW UN Equity</stp>
        <stp>CHG_PCT_YTD_RT</stp>
        <tr r="J413" s="2"/>
      </tp>
      <tp>
        <v>6.7728000000000002</v>
        <stp/>
        <stp>BDP|15854606774063588697|22</stp>
        <stp>UBER UN Equity</stp>
        <stp>CHG_PCT_YTD_RT</stp>
        <tr r="J464" s="2"/>
      </tp>
      <tp>
        <v>-10.049300000000001</v>
        <stp/>
        <stp>BDP|474732602460405341|22</stp>
        <stp>ZBH UN Equity</stp>
        <stp>CHG_PCT_YTD_RT</stp>
        <tr r="J505" s="2"/>
      </tp>
      <tp>
        <v>-1.7734000000000001</v>
        <stp/>
        <stp>BDP|14707954727838470240|22</stp>
        <stp>CSGP UW Equity</stp>
        <stp>REALTIME_5_DAY_CHANGE_PERCENT</stp>
        <tr r="G121" s="2"/>
      </tp>
      <tp>
        <v>24.2607</v>
        <stp/>
        <stp>BDP|13171834545684516880|22</stp>
        <stp>GNRC UN Equity</stp>
        <stp>CHG_PCT_3M_RT</stp>
        <tr r="I214" s="2"/>
      </tp>
      <tp>
        <v>7.7366000000000001</v>
        <stp/>
        <stp>BDP|12629396595008460160|22</stp>
        <stp>ALGN UW Equity</stp>
        <stp>CHG_PCT_1M_RT</stp>
        <tr r="H26" s="2"/>
      </tp>
      <tp>
        <v>14.9238</v>
        <stp/>
        <stp>BDP|12644283259997323948|22</stp>
        <stp>NFLX UW Equity</stp>
        <stp>CHG_PCT_1M_RT</stp>
        <tr r="H340" s="2"/>
      </tp>
      <tp>
        <v>80.58</v>
        <stp/>
        <stp>BDP|10335990492117188541|22</stp>
        <stp>K UN Equity</stp>
        <stp>LAST_PRICE</stp>
        <tr r="C268" s="2"/>
        <tr r="D268" s="2"/>
        <tr r="E268" s="2"/>
        <tr r="B268" s="2"/>
      </tp>
      <tp>
        <v>-9.5815999999999999</v>
        <stp/>
        <stp>BDP|10339065247739002919|22</stp>
        <stp>BIIB UW Equity</stp>
        <stp>CHG_PCT_1M_RT</stp>
        <tr r="H64" s="2"/>
      </tp>
      <tp>
        <v>-4.5382999999999996</v>
        <stp/>
        <stp>BDP|11871877741412738395|22</stp>
        <stp>CARR UN Equity</stp>
        <stp>CHG_PCT_1M_RT</stp>
        <tr r="H81" s="2"/>
      </tp>
      <tp>
        <v>-0.59549999237060547</v>
        <stp/>
        <stp>BDP|9916887950822777693|22</stp>
        <stp>KIM UN Equity</stp>
        <stp>RT_PX_CHG_PCT_1D</stp>
        <tr r="F273" s="2"/>
      </tp>
      <tp>
        <v>0.54019999504089355</v>
        <stp/>
        <stp>BDP|8461414512175497540|22</stp>
        <stp>DGX UN Equity</stp>
        <stp>RT_PX_CHG_PCT_1D</stp>
        <tr r="F140" s="2"/>
      </tp>
      <tp>
        <v>-3.4498999118804932</v>
        <stp/>
        <stp>BDP|2934680659187197741|22</stp>
        <stp>MET UN Equity</stp>
        <stp>RT_PX_CHG_PCT_1D</stp>
        <tr r="F310" s="2"/>
      </tp>
      <tp>
        <v>-2.7410999999999999</v>
        <stp/>
        <stp>BDP|16070048949486320488|22</stp>
        <stp>TMUS UW Equity</stp>
        <stp>CHG_PCT_1M_RT</stp>
        <tr r="H448" s="2"/>
      </tp>
      <tp>
        <v>-2.2667000000000002</v>
        <stp/>
        <stp>BDP|354123401598532707|22</stp>
        <stp>KEY UN Equity</stp>
        <stp>CHG_PCT_1M_RT</stp>
        <tr r="H270" s="2"/>
      </tp>
      <tp>
        <v>-0.55769997835159302</v>
        <stp/>
        <stp>BDP|8166021983551581650|22</stp>
        <stp>FTV UN Equity</stp>
        <stp>RT_PX_CHG_PCT_1D</stp>
        <tr r="F202" s="2"/>
      </tp>
      <tp>
        <v>48.3429</v>
        <stp/>
        <stp>BDP|12543983871723192123|22</stp>
        <stp>NCLH UN Equity</stp>
        <stp>CHG_PCT_3M_RT</stp>
        <tr r="I335" s="2"/>
      </tp>
      <tp>
        <v>-13.4087</v>
        <stp/>
        <stp>BDP|12927274543805563063|22</stp>
        <stp>TMO UN Equity</stp>
        <stp>CHG_PCT_3M_RT</stp>
        <tr r="I447" s="2"/>
      </tp>
      <tp>
        <v>-2.0411000000000001</v>
        <stp/>
        <stp>BDP|13609634390555890828|22</stp>
        <stp>AMP UN Equity</stp>
        <stp>REALTIME_5_DAY_CHANGE_PERCENT</stp>
        <tr r="G34" s="2"/>
      </tp>
      <tp>
        <v>-3.0750999999999999</v>
        <stp/>
        <stp>BDP|10535912757862374609|22</stp>
        <stp>NEE UN Equity</stp>
        <stp>REALTIME_5_DAY_CHANGE_PERCENT</stp>
        <tr r="G338" s="2"/>
      </tp>
      <tp>
        <v>18.9452</v>
        <stp/>
        <stp>BDP|14900345044504965048|22</stp>
        <stp>PTC UW Equity</stp>
        <stp>CHG_PCT_3M_RT</stp>
        <tr r="I392" s="2"/>
      </tp>
      <tp>
        <v>-2.4645999999999999</v>
        <stp/>
        <stp>BDP|16548374977957987861|22</stp>
        <stp>MHK UN Equity</stp>
        <stp>REALTIME_5_DAY_CHANGE_PERCENT</stp>
        <tr r="G313" s="2"/>
      </tp>
      <tp>
        <v>-10.16</v>
        <stp/>
        <stp>BDP|14515697605141036431|22</stp>
        <stp>TGT UN Equity</stp>
        <stp>CHG_PCT_3M_RT</stp>
        <tr r="I445" s="2"/>
      </tp>
      <tp>
        <v>-3.8376000000000001</v>
        <stp/>
        <stp>BDP|11433368027968164857|22</stp>
        <stp>TXN UW Equity</stp>
        <stp>CHG_PCT_3M_RT</stp>
        <tr r="I460" s="2"/>
      </tp>
      <tp>
        <v>0.64480000000000004</v>
        <stp/>
        <stp>BDP|11502102716614983499|22</stp>
        <stp>REG UW Equity</stp>
        <stp>CHG_PCT_3M_RT</stp>
        <tr r="I398" s="2"/>
      </tp>
      <tp>
        <v>-1.1915</v>
        <stp/>
        <stp>BDP|698349272141227291|22</stp>
        <stp>TWSE Index</stp>
        <stp>CHG_PCT_1M_RT</stp>
        <tr r="H534" s="2"/>
      </tp>
      <tp>
        <v>-3.0754999999999999</v>
        <stp/>
        <stp>BDP|13147629287576149396|22</stp>
        <stp>EXR UN Equity</stp>
        <stp>REALTIME_5_DAY_CHANGE_PERCENT</stp>
        <tr r="G183" s="2"/>
      </tp>
      <tp>
        <v>-1.6242000000000001</v>
        <stp/>
        <stp>BDP|18415991211965767279|22</stp>
        <stp>STE UN Equity</stp>
        <stp>CHG_PCT_1M_RT</stp>
        <tr r="H425" s="2"/>
      </tp>
      <tp>
        <v>4.6443000000000003</v>
        <stp/>
        <stp>BDP|2561315875329334122|22</stp>
        <stp>VZ UN Equity</stp>
        <stp>CHG_PCT_1M_RT</stp>
        <tr r="H484" s="2"/>
      </tp>
      <tp>
        <v>0.92689999999999995</v>
        <stp/>
        <stp>BDP|5717582308733353037|22</stp>
        <stp>BRK/B UN Equity</stp>
        <stp>CHG_PCT_3M_RT</stp>
        <tr r="I72" s="2"/>
      </tp>
      <tp>
        <v>277.32</v>
        <stp/>
        <stp>BDP|1028185716898439124|22</stp>
        <stp>CB UN Equity</stp>
        <stp>LAST_PRICE</stp>
        <tr r="B83" s="2"/>
        <tr r="E83" s="2"/>
        <tr r="C83" s="2"/>
        <tr r="D83" s="2"/>
      </tp>
      <tp>
        <v>-1.7573000000000001</v>
        <stp/>
        <stp>BDP|2741350117347712027|22</stp>
        <stp>FE UN Equity</stp>
        <stp>CHG_PCT_1M_RT</stp>
        <tr r="H190" s="2"/>
      </tp>
      <tp>
        <v>70.900000000000006</v>
        <stp/>
        <stp>BDP|3063065887838551178|22</stp>
        <stp>EW UN Equity</stp>
        <stp>LAST_PRICE</stp>
        <tr r="E179" s="2"/>
        <tr r="B179" s="2"/>
        <tr r="C179" s="2"/>
        <tr r="D179" s="2"/>
      </tp>
      <tp>
        <v>5.0031999999999996</v>
        <stp/>
        <stp>BDP|8503240909232656756|22</stp>
        <stp>DG UN Equity</stp>
        <stp>CHG_PCT_1M_RT</stp>
        <tr r="H139" s="2"/>
      </tp>
      <tp>
        <v>514.44000000000005</v>
        <stp/>
        <stp>BDP|8936707107055737703|22</stp>
        <stp>IT UN Equity</stp>
        <stp>LAST_PRICE</stp>
        <tr r="B257" s="2"/>
        <tr r="C257" s="2"/>
        <tr r="D257" s="2"/>
        <tr r="E257" s="2"/>
      </tp>
      <tp>
        <v>-0.79909998178482056</v>
        <stp/>
        <stp>BDP|10594656878267267810|22</stp>
        <stp>SBUX UW Equity</stp>
        <stp>RT_PX_CHG_PCT_1D</stp>
        <tr r="F412" s="2"/>
      </tp>
      <tp>
        <v>-17.715599999999998</v>
        <stp/>
        <stp>BDP|15138517835343918758|22</stp>
        <stp>MKTX UW Equity</stp>
        <stp>CHG_PCT_YTD_RT</stp>
        <tr r="J315" s="2"/>
      </tp>
      <tp>
        <v>18.190200000000001</v>
        <stp/>
        <stp>BDP|12228650742837820428|22</stp>
        <stp>VTRS UW Equity</stp>
        <stp>CHG_PCT_YTD_RT</stp>
        <tr r="J483" s="2"/>
      </tp>
      <tp>
        <v>3.3357999999999999</v>
        <stp/>
        <stp>BDP|15221211308533256103|22</stp>
        <stp>CINF UW Equity</stp>
        <stp>CHG_PCT_1M_RT</stp>
        <tr r="H98" s="2"/>
      </tp>
      <tp>
        <v>-1.2555999755859375</v>
        <stp/>
        <stp>BDP|6896797768258423945|22</stp>
        <stp>PNW UN Equity</stp>
        <stp>RT_PX_CHG_PCT_1D</stp>
        <tr r="F384" s="2"/>
      </tp>
      <tp>
        <v>0.95770001411437988</v>
        <stp/>
        <stp>BDP|8651530533891150773|22</stp>
        <stp>ZTS UN Equity</stp>
        <stp>RT_PX_CHG_PCT_1D</stp>
        <tr r="F507" s="2"/>
      </tp>
      <tp>
        <v>-31.165199999999999</v>
        <stp/>
        <stp>BDP|11110431685281103543|22</stp>
        <stp>REGN UW Equity</stp>
        <stp>CHG_PCT_3M_RT</stp>
        <tr r="I399" s="2"/>
      </tp>
      <tp>
        <v>1.0364999771118164</v>
        <stp/>
        <stp>BDP|5579429738394744252|22</stp>
        <stp>STT UN Equity</stp>
        <stp>RT_PX_CHG_PCT_1D</stp>
        <tr r="F427" s="2"/>
      </tp>
      <tp>
        <v>1.437999963760376</v>
        <stp/>
        <stp>BDP|7761084314807820383|22</stp>
        <stp>PFE UN Equity</stp>
        <stp>RT_PX_CHG_PCT_1D</stp>
        <tr r="F372" s="2"/>
      </tp>
      <tp>
        <v>-14.8165</v>
        <stp/>
        <stp>BDP|12134314253357206283|22</stp>
        <stp>AMGN UW Equity</stp>
        <stp>CHG_PCT_3M_RT</stp>
        <tr r="I33" s="2"/>
      </tp>
      <tp>
        <v>35.412799999999997</v>
        <stp/>
        <stp>BDP|12812108251156994711|22</stp>
        <stp>BKNG UW Equity</stp>
        <stp>CHG_PCT_3M_RT</stp>
        <tr r="I66" s="2"/>
      </tp>
      <tp>
        <v>-4.2427000999450684</v>
        <stp/>
        <stp>BDP|8084990933948524228|22</stp>
        <stp>RCL UN Equity</stp>
        <stp>RT_PX_CHG_PCT_1D</stp>
        <tr r="F397" s="2"/>
      </tp>
      <tp>
        <v>6.1954000000000002</v>
        <stp/>
        <stp>BDP|15993671488263672620|22</stp>
        <stp>JBHT UW Equity</stp>
        <stp>CHG_PCT_3M_RT</stp>
        <tr r="I261" s="2"/>
      </tp>
      <tp>
        <v>-5.7799999999999997E-2</v>
        <stp/>
        <stp>BDP|12838839667262346056|22</stp>
        <stp>HBAN UW Equity</stp>
        <stp>CHG_PCT_1M_RT</stp>
        <tr r="H224" s="2"/>
      </tp>
      <tp>
        <v>11.7698</v>
        <stp/>
        <stp>BDP|16533134243024976290|22</stp>
        <stp>CINF UW Equity</stp>
        <stp>CHG_PCT_3M_RT</stp>
        <tr r="I98" s="2"/>
      </tp>
      <tp>
        <v>-0.29470000000000002</v>
        <stp/>
        <stp>BDP|14574333680022800371|22</stp>
        <stp>SBAC UW Equity</stp>
        <stp>CHG_PCT_1M_RT</stp>
        <tr r="H411" s="2"/>
      </tp>
      <tp>
        <v>0</v>
        <stp/>
        <stp>BDP|5368317265237017389|22</stp>
        <stp>TSN UN Equity</stp>
        <stp>RT_PX_CHG_PCT_1D</stp>
        <tr r="F457" s="2"/>
      </tp>
      <tp>
        <v>-0.6054999828338623</v>
        <stp/>
        <stp>BDP|5132410744358424209|22</stp>
        <stp>ABT UN Equity</stp>
        <stp>RT_PX_CHG_PCT_1D</stp>
        <tr r="F9" s="2"/>
      </tp>
      <tp>
        <v>0.25749999284744263</v>
        <stp/>
        <stp>BDP|6987661491096749666|22</stp>
        <stp>CLX UN Equity</stp>
        <stp>RT_PX_CHG_PCT_1D</stp>
        <tr r="F100" s="2"/>
      </tp>
      <tp>
        <v>2.1865999698638916</v>
        <stp/>
        <stp>BDP|8983480840510442052|22</stp>
        <stp>HRL UN Equity</stp>
        <stp>RT_PX_CHG_PCT_1D</stp>
        <tr r="F235" s="2"/>
      </tp>
      <tp>
        <v>1.3329000473022461</v>
        <stp/>
        <stp>BDP|3624570192979132643|22</stp>
        <stp>CDW UW Equity</stp>
        <stp>RT_PX_CHG_PCT_1D</stp>
        <tr r="F89" s="2"/>
      </tp>
      <tp>
        <v>-1.9287999868392944</v>
        <stp/>
        <stp>BDP|7364675269165806509|22</stp>
        <stp>ETN UN Equity</stp>
        <stp>RT_PX_CHG_PCT_1D</stp>
        <tr r="F176" s="2"/>
      </tp>
      <tp>
        <v>-0.49799999594688416</v>
        <stp/>
        <stp>BDP|7391172095357352686|22</stp>
        <stp>JCI UN Equity</stp>
        <stp>RT_PX_CHG_PCT_1D</stp>
        <tr r="F263" s="2"/>
      </tp>
      <tp>
        <v>-2.8784999847412109</v>
        <stp/>
        <stp>BDP|3492815309489873544|22</stp>
        <stp>CRM UN Equity</stp>
        <stp>RT_PX_CHG_PCT_1D</stp>
        <tr r="F118" s="2"/>
      </tp>
      <tp>
        <v>3.3746999999999998</v>
        <stp/>
        <stp>BDP|14797430587877727233|22</stp>
        <stp>TAP UN Equity</stp>
        <stp>CHG_PCT_1M_RT</stp>
        <tr r="H437" s="2"/>
      </tp>
      <tp>
        <v>-2.3386999999999998</v>
        <stp/>
        <stp>BDP|11917210331640545089|22</stp>
        <stp>STX UW Equity</stp>
        <stp>CHG_PCT_3M_RT</stp>
        <tr r="I428" s="2"/>
      </tp>
      <tp>
        <v>12.985099999999999</v>
        <stp/>
        <stp>BDP|11517215556934290362|22</stp>
        <stp>WDC UW Equity</stp>
        <stp>CHG_PCT_3M_RT</stp>
        <tr r="I489" s="2"/>
      </tp>
      <tp>
        <v>-2.1135000000000002</v>
        <stp/>
        <stp>BDP|11982009463769645445|22</stp>
        <stp>HON UW Equity</stp>
        <stp>REALTIME_5_DAY_CHANGE_PERCENT</stp>
        <tr r="G232" s="2"/>
      </tp>
      <tp>
        <v>-3.5815999999999999</v>
        <stp/>
        <stp>BDP|14797229699733752222|22</stp>
        <stp>MSI UN Equity</stp>
        <stp>REALTIME_5_DAY_CHANGE_PERCENT</stp>
        <tr r="G330" s="2"/>
      </tp>
      <tp>
        <v>-3.6311</v>
        <stp/>
        <stp>BDP|11225991656381895159|22</stp>
        <stp>COO UW Equity</stp>
        <stp>REALTIME_5_DAY_CHANGE_PERCENT</stp>
        <tr r="G109" s="2"/>
      </tp>
      <tp>
        <v>-5.3300999999999998</v>
        <stp/>
        <stp>BDP|12566657261022919520|22</stp>
        <stp>BRO UN Equity</stp>
        <stp>REALTIME_5_DAY_CHANGE_PERCENT</stp>
        <tr r="G73" s="2"/>
      </tp>
      <tp>
        <v>4.54</v>
        <stp/>
        <stp>BDP|13475003634684204259|22</stp>
        <stp>YUM UN Equity</stp>
        <stp>CHG_PCT_3M_RT</stp>
        <tr r="I504" s="2"/>
      </tp>
      <tp>
        <v>-2.9672000000000001</v>
        <stp/>
        <stp>BDP|8335763746858628288|22</stp>
        <stp>WM UN Equity</stp>
        <stp>CHG_PCT_1M_RT</stp>
        <tr r="H493" s="2"/>
      </tp>
      <tp>
        <v>-3.2599999999999997E-2</v>
        <stp/>
        <stp>BDP|3825294121347255292|22</stp>
        <stp>EG UN Equity</stp>
        <stp>CHG_PCT_1M_RT</stp>
        <tr r="H161" s="2"/>
      </tp>
      <tp>
        <v>-1.4359</v>
        <stp/>
        <stp>BDP|3282658415409205696|22</stp>
        <stp>CB UN Equity</stp>
        <stp>CHG_PCT_1M_RT</stp>
        <tr r="H83" s="2"/>
      </tp>
      <tp>
        <v>4.3849</v>
        <stp/>
        <stp>BDP|6713472634549776693|22</stp>
        <stp>IT UN Equity</stp>
        <stp>CHG_PCT_3M_RT</stp>
        <tr r="I257" s="2"/>
      </tp>
      <tp>
        <v>-11.068099999999999</v>
        <stp/>
        <stp>BDP|3429714756690875776|22</stp>
        <stp>CMCSA UW Equity</stp>
        <stp>CHG_PCT_1M_RT</stp>
        <tr r="H101" s="2"/>
      </tp>
      <tp>
        <v>3.4371</v>
        <stp/>
        <stp>BDP|14412136448566350770|22</stp>
        <stp>SBUX UW Equity</stp>
        <stp>CHG_PCT_YTD_RT</stp>
        <tr r="J412" s="2"/>
      </tp>
      <tp>
        <v>11.386200000000001</v>
        <stp/>
        <stp>BDP|120349851510201778|22</stp>
        <stp>LEN UN Equity</stp>
        <stp>CHG_PCT_YTD_RT</stp>
        <tr r="J284" s="2"/>
      </tp>
      <tp>
        <v>5.4718999999999998</v>
        <stp/>
        <stp>BDP|968303073146072843|22</stp>
        <stp>LNT UW Equity</stp>
        <stp>CHG_PCT_1M_RT</stp>
        <tr r="H291" s="2"/>
      </tp>
      <tp>
        <v>0.97419999999999995</v>
        <stp/>
        <stp>BDP|11013954261623522196|22</stp>
        <stp>AXON UW Equity</stp>
        <stp>REALTIME_5_DAY_CHANGE_PERCENT</stp>
        <tr r="G52" s="2"/>
      </tp>
      <tp>
        <v>3.0762999999999998</v>
        <stp/>
        <stp>BDP|13745885712921116940|22</stp>
        <stp>RVTY UN Equity</stp>
        <stp>REALTIME_5_DAY_CHANGE_PERCENT</stp>
        <tr r="G410" s="2"/>
      </tp>
      <tp>
        <v>-1.1348</v>
        <stp/>
        <stp>BDP|13820958473456933776|22</stp>
        <stp>DXCM UW Equity</stp>
        <stp>REALTIME_5_DAY_CHANGE_PERCENT</stp>
        <tr r="G155" s="2"/>
      </tp>
      <tp>
        <v>20.987500000000001</v>
        <stp/>
        <stp>BDP|11283978684157058759|22</stp>
        <stp>PODD UW Equity</stp>
        <stp>CHG_PCT_3M_RT</stp>
        <tr r="I385" s="2"/>
      </tp>
      <tp>
        <v>-4.0964</v>
        <stp/>
        <stp>BDP|210345761139768602|22</stp>
        <stp>UPS UN Equity</stp>
        <stp>REALTIME_5_DAY_CHANGE_PERCENT</stp>
        <tr r="G470" s="2"/>
      </tp>
      <tp>
        <v>42.191699999999997</v>
        <stp/>
        <stp>BDP|835115800491875883|22</stp>
        <stp>ALL UN Equity</stp>
        <stp>CHG_PCT_YTD_RT</stp>
        <tr r="J27" s="2"/>
      </tp>
      <tp>
        <v>-3.1560000000000001</v>
        <stp/>
        <stp>BDP|11548279511467613468|22</stp>
        <stp>JNPR UN Equity</stp>
        <stp>CHG_PCT_3M_RT</stp>
        <tr r="I266" s="2"/>
      </tp>
      <tp>
        <v>7.4649999999999999</v>
        <stp/>
        <stp>BDP|12990669776587504617|22</stp>
        <stp>AVGO UW Equity</stp>
        <stp>REALTIME_5_DAY_CHANGE_PERCENT</stp>
        <tr r="G49" s="2"/>
      </tp>
      <tp>
        <v>9.6079000000000008</v>
        <stp/>
        <stp>BDP|15765582770059544304|22</stp>
        <stp>EBAY UW Equity</stp>
        <stp>CHG_PCT_3M_RT</stp>
        <tr r="I157" s="2"/>
      </tp>
      <tp>
        <v>-1.2311999797821045</v>
        <stp/>
        <stp>BDP|4191446198211476662|22</stp>
        <stp>CHD UN Equity</stp>
        <stp>RT_PX_CHG_PCT_1D</stp>
        <tr r="F94" s="2"/>
      </tp>
      <tp>
        <v>-7.7628000000000004</v>
        <stp/>
        <stp>BDP|17268411844935231872|22</stp>
        <stp>DELL UN Equity</stp>
        <stp>CHG_PCT_1M_RT</stp>
        <tr r="H137" s="2"/>
      </tp>
      <tp>
        <v>4.0102000000000002</v>
        <stp/>
        <stp>BDP|16705096499565077733|22</stp>
        <stp>PYPL UW Equity</stp>
        <stp>REALTIME_5_DAY_CHANGE_PERCENT</stp>
        <tr r="G394" s="2"/>
      </tp>
      <tp>
        <v>1.0707999467849731</v>
        <stp/>
        <stp>BDP|1031362317259185953|22</stp>
        <stp>CAT UN Equity</stp>
        <stp>RT_PX_CHG_PCT_1D</stp>
        <tr r="F82" s="2"/>
      </tp>
      <tp>
        <v>17.183800000000002</v>
        <stp/>
        <stp>BDP|15636807151399316315|22</stp>
        <stp>TMUS UW Equity</stp>
        <stp>CHG_PCT_3M_RT</stp>
        <tr r="I448" s="2"/>
      </tp>
      <tp>
        <v>-0.96399998664855957</v>
        <stp/>
        <stp>BDP|9015700550429952108|22</stp>
        <stp>BBY UN Equity</stp>
        <stp>RT_PX_CHG_PCT_1D</stp>
        <tr r="F59" s="2"/>
      </tp>
      <tp>
        <v>1.665</v>
        <stp/>
        <stp>BDP|11370819517827332522|22</stp>
        <stp>WELL UN Equity</stp>
        <stp>CHG_PCT_3M_RT</stp>
        <tr r="I491" s="2"/>
      </tp>
      <tp>
        <v>1.1248999834060669</v>
        <stp/>
        <stp>BDP|3555544245065493720|22</stp>
        <stp>KMX UN Equity</stp>
        <stp>RT_PX_CHG_PCT_1D</stp>
        <tr r="F278" s="2"/>
      </tp>
      <tp>
        <v>8.6030999999999995</v>
        <stp/>
        <stp>BDP|12900139067424484398|22</stp>
        <stp>AMZN UW Equity</stp>
        <stp>CHG_PCT_1M_RT</stp>
        <tr r="H37" s="2"/>
      </tp>
      <tp>
        <v>-6.1748000000000003</v>
        <stp/>
        <stp>BDP|11010723093060662462|22</stp>
        <stp>IDXX UW Equity</stp>
        <stp>CHG_PCT_3M_RT</stp>
        <tr r="I244" s="2"/>
      </tp>
      <tp>
        <v>-3.1876000000000002</v>
        <stp/>
        <stp>BDP|11439242820260590484|22</stp>
        <stp>PHM UN Equity</stp>
        <stp>CHG_PCT_1M_RT</stp>
        <tr r="H377" s="2"/>
      </tp>
      <tp>
        <v>-1.3852</v>
        <stp/>
        <stp>BDP|16197241657967196800|22</stp>
        <stp>MCO UN Equity</stp>
        <stp>REALTIME_5_DAY_CHANGE_PERCENT</stp>
        <tr r="G307" s="2"/>
      </tp>
      <tp>
        <v>28.201699999999999</v>
        <stp/>
        <stp>BDP|17504400629180784971|22</stp>
        <stp>MERVAL Index</stp>
        <stp>CHG_PCT_3M_RT</stp>
        <tr r="I514" s="2"/>
      </tp>
      <tp>
        <v>-0.93179999999999996</v>
        <stp/>
        <stp>BDP|16417451346938052061|22</stp>
        <stp>IEX UN Equity</stp>
        <stp>REALTIME_5_DAY_CHANGE_PERCENT</stp>
        <tr r="G245" s="2"/>
      </tp>
      <tp>
        <v>1.0729</v>
        <stp/>
        <stp>BDP|17478398928378691625|22</stp>
        <stp>PNW UN Equity</stp>
        <stp>CHG_PCT_3M_RT</stp>
        <tr r="I384" s="2"/>
      </tp>
      <tp>
        <v>-1.1511</v>
        <stp/>
        <stp>BDP|14666926751077764718|22</stp>
        <stp>NOC UN Equity</stp>
        <stp>REALTIME_5_DAY_CHANGE_PERCENT</stp>
        <tr r="G343" s="2"/>
      </tp>
      <tp>
        <v>-1.3728</v>
        <stp/>
        <stp>BDP|16182478399619687715|22</stp>
        <stp>PGR UN Equity</stp>
        <stp>CHG_PCT_3M_RT</stp>
        <tr r="I375" s="2"/>
      </tp>
      <tp>
        <v>0.255</v>
        <stp/>
        <stp>BDP|15307033724226723435|22</stp>
        <stp>MAR UW Equity</stp>
        <stp>REALTIME_5_DAY_CHANGE_PERCENT</stp>
        <tr r="G302" s="2"/>
      </tp>
      <tp>
        <v>-1.0161</v>
        <stp/>
        <stp>BDP|10022845154233229083|22</stp>
        <stp>ESS UN Equity</stp>
        <stp>REALTIME_5_DAY_CHANGE_PERCENT</stp>
        <tr r="G175" s="2"/>
      </tp>
      <tp>
        <v>1.6233</v>
        <stp/>
        <stp>BDP|14284373004907004528|22</stp>
        <stp>WDC UW Equity</stp>
        <stp>CHG_PCT_1M_RT</stp>
        <tr r="H489" s="2"/>
      </tp>
      <tp>
        <v>-3.3500999999999999</v>
        <stp/>
        <stp>BDP|18337934861086035931|22</stp>
        <stp>NRG UN Equity</stp>
        <stp>REALTIME_5_DAY_CHANGE_PERCENT</stp>
        <tr r="G345" s="2"/>
      </tp>
      <tp>
        <v>-4.8464</v>
        <stp/>
        <stp>BDP|10792200432608482876|22</stp>
        <stp>SWK UN Equity</stp>
        <stp>CHG_PCT_1M_RT</stp>
        <tr r="H431" s="2"/>
      </tp>
      <tp>
        <v>18.235099999999999</v>
        <stp/>
        <stp>BDP|4940674333848232748|22</stp>
        <stp>PH UN Equity</stp>
        <stp>CHG_PCT_3M_RT</stp>
        <tr r="I376" s="2"/>
      </tp>
      <tp>
        <v>-12.874000000000001</v>
        <stp/>
        <stp>BDP|5827056856984999847|22</stp>
        <stp>KO UN Equity</stp>
        <stp>CHG_PCT_3M_RT</stp>
        <tr r="I279" s="2"/>
      </tp>
      <tp>
        <v>32.610700000000001</v>
        <stp/>
        <stp>BDP|5017486572494256935|22</stp>
        <stp>BX UN Equity</stp>
        <stp>CHG_PCT_3M_RT</stp>
        <tr r="I76" s="2"/>
      </tp>
      <tp>
        <v>-0.59060001373291016</v>
        <stp/>
        <stp>BDP|9707076284508190723|22</stp>
        <stp>TEL UN Equity</stp>
        <stp>RT_PX_CHG_PCT_1D</stp>
        <tr r="F441" s="2"/>
      </tp>
      <tp>
        <v>-3.2086000442504883</v>
        <stp/>
        <stp>BDP|4865382256167356909|22</stp>
        <stp>WTW UW Equity</stp>
        <stp>RT_PX_CHG_PCT_1D</stp>
        <tr r="F498" s="2"/>
      </tp>
      <tp>
        <v>-4.2480998039245605</v>
        <stp/>
        <stp>BDP|7806180996015205019|22</stp>
        <stp>UAL UW Equity</stp>
        <stp>RT_PX_CHG_PCT_1D</stp>
        <tr r="F463" s="2"/>
      </tp>
      <tp>
        <v>-1.1444000005722046</v>
        <stp/>
        <stp>BDP|5630401194784943158|22</stp>
        <stp>RJF UN Equity</stp>
        <stp>RT_PX_CHG_PCT_1D</stp>
        <tr r="F401" s="2"/>
      </tp>
      <tp>
        <v>-0.41990000009536743</v>
        <stp/>
        <stp>BDP|1996884265515407821|22</stp>
        <stp>EMR UN Equity</stp>
        <stp>RT_PX_CHG_PCT_1D</stp>
        <tr r="F166" s="2"/>
      </tp>
      <tp>
        <v>-1.4988000392913818</v>
        <stp/>
        <stp>BDP|5274449152828867219|22</stp>
        <stp>BSX UN Equity</stp>
        <stp>RT_PX_CHG_PCT_1D</stp>
        <tr r="F74" s="2"/>
      </tp>
      <tp>
        <v>1.3947000000000001</v>
        <stp/>
        <stp>BDP|948316501217427012|22</stp>
        <stp>HAL UN Equity</stp>
        <stp>CHG_PCT_3M_RT</stp>
        <tr r="I222" s="2"/>
      </tp>
      <tp>
        <v>-1.1738999999999999</v>
        <stp/>
        <stp>BDP|10264188708633503387|22</stp>
        <stp>NTRS UW Equity</stp>
        <stp>REALTIME_5_DAY_CHANGE_PERCENT</stp>
        <tr r="G348" s="2"/>
      </tp>
      <tp>
        <v>-0.85699999332427979</v>
        <stp/>
        <stp>BDP|3326893161872444484|22</stp>
        <stp>MCO UN Equity</stp>
        <stp>RT_PX_CHG_PCT_1D</stp>
        <tr r="F307" s="2"/>
      </tp>
      <tp>
        <v>-3.5072999000549316</v>
        <stp/>
        <stp>BDP|6191906527728607011|22</stp>
        <stp>HPE UN Equity</stp>
        <stp>RT_PX_CHG_PCT_1D</stp>
        <tr r="F233" s="2"/>
      </tp>
      <tp>
        <v>-1.3706</v>
        <stp/>
        <stp>BDP|15644039353732927641|22</stp>
        <stp>COLCAP Index</stp>
        <stp>REALTIME_5_DAY_CHANGE_PERCENT</stp>
        <tr r="G513" s="2"/>
      </tp>
      <tp>
        <v>54.2119</v>
        <stp/>
        <stp>BDP|10965607177489796573|22</stp>
        <stp>RCL UN Equity</stp>
        <stp>CHG_PCT_3M_RT</stp>
        <tr r="I397" s="2"/>
      </tp>
      <tp>
        <v>-3.8471000000000002</v>
        <stp/>
        <stp>BDP|16507255615121464278|22</stp>
        <stp>DHI UN Equity</stp>
        <stp>REALTIME_5_DAY_CHANGE_PERCENT</stp>
        <tr r="G141" s="2"/>
      </tp>
      <tp>
        <v>6.0674000000000001</v>
        <stp/>
        <stp>BDP|14270748221991124225|22</stp>
        <stp>WTW UW Equity</stp>
        <stp>CHG_PCT_3M_RT</stp>
        <tr r="I498" s="2"/>
      </tp>
      <tp>
        <v>-2.4967999999999999</v>
        <stp/>
        <stp>BDP|13652405224246562159|22</stp>
        <stp>EMR UN Equity</stp>
        <stp>REALTIME_5_DAY_CHANGE_PERCENT</stp>
        <tr r="G166" s="2"/>
      </tp>
      <tp>
        <v>0.38240000000000002</v>
        <stp/>
        <stp>BDP|14216218395241267443|22</stp>
        <stp>ECL UN Equity</stp>
        <stp>REALTIME_5_DAY_CHANGE_PERCENT</stp>
        <tr r="G158" s="2"/>
      </tp>
      <tp>
        <v>-5.7450999999999999</v>
        <stp/>
        <stp>BDP|15293548023308451939|22</stp>
        <stp>AFL UN Equity</stp>
        <stp>REALTIME_5_DAY_CHANGE_PERCENT</stp>
        <tr r="G20" s="2"/>
      </tp>
      <tp>
        <v>8.5300000000000001E-2</v>
        <stp/>
        <stp>BDP|12069187359839218952|22</stp>
        <stp>BDX UN Equity</stp>
        <stp>REALTIME_5_DAY_CHANGE_PERCENT</stp>
        <tr r="G60" s="2"/>
      </tp>
      <tp>
        <v>18.0397</v>
        <stp/>
        <stp>BDP|14128722636495918777|22</stp>
        <stp>WAT UN Equity</stp>
        <stp>CHG_PCT_3M_RT</stp>
        <tr r="I486" s="2"/>
      </tp>
      <tp>
        <v>-0.40289999999999998</v>
        <stp/>
        <stp>BDP|17611995045558826838|22</stp>
        <stp>APA UW Equity</stp>
        <stp>REALTIME_5_DAY_CHANGE_PERCENT</stp>
        <tr r="G42" s="2"/>
      </tp>
      <tp>
        <v>19.2455</v>
        <stp/>
        <stp>BDP|17289865736213413495|22</stp>
        <stp>TPR UN Equity</stp>
        <stp>CHG_PCT_1M_RT</stp>
        <tr r="H450" s="2"/>
      </tp>
      <tp>
        <v>-4.8316999999999997</v>
        <stp/>
        <stp>BDP|10835234155392733582|22</stp>
        <stp>VTR UN Equity</stp>
        <stp>CHG_PCT_3M_RT</stp>
        <tr r="I482" s="2"/>
      </tp>
      <tp>
        <v>-2.8296000000000001</v>
        <stp/>
        <stp>BDP|14164297301831922072|22</stp>
        <stp>EQT UN Equity</stp>
        <stp>REALTIME_5_DAY_CHANGE_PERCENT</stp>
        <tr r="G172" s="2"/>
      </tp>
      <tp>
        <v>-5.609</v>
        <stp/>
        <stp>BDP|8242441142914568626|22</stp>
        <stp>SO UN Equity</stp>
        <stp>CHG_PCT_3M_RT</stp>
        <tr r="I420" s="2"/>
      </tp>
      <tp>
        <v>5.3875999999999999</v>
        <stp/>
        <stp>BDP|5796140614508240554|22</stp>
        <stp>CF UN Equity</stp>
        <stp>CHG_PCT_1M_RT</stp>
        <tr r="H92" s="2"/>
      </tp>
      <tp>
        <v>43.562199999999997</v>
        <stp/>
        <stp>BDP|11317596089740584132|22</stp>
        <stp>WELL UN Equity</stp>
        <stp>CHG_PCT_YTD_RT</stp>
        <tr r="J491" s="2"/>
      </tp>
      <tp>
        <v>-0.90609997510910034</v>
        <stp/>
        <stp>BDP|11800042542911907778|22</stp>
        <stp>PCAR UW Equity</stp>
        <stp>RT_PX_CHG_PCT_1D</stp>
        <tr r="F368" s="2"/>
      </tp>
      <tp>
        <v>-0.65119999647140503</v>
        <stp/>
        <stp>BDP|15012298313042086720|22</stp>
        <stp>PAYC UN Equity</stp>
        <stp>RT_PX_CHG_PCT_1D</stp>
        <tr r="F366" s="2"/>
      </tp>
      <tp>
        <v>136.15</v>
        <stp/>
        <stp>BDP|12820955248665315077|22</stp>
        <stp>J UN Equity</stp>
        <stp>LAST_PRICE</stp>
        <tr r="C260" s="2"/>
        <tr r="D260" s="2"/>
        <tr r="E260" s="2"/>
        <tr r="B260" s="2"/>
      </tp>
      <tp>
        <v>-9.8094000000000001</v>
        <stp/>
        <stp>BDP|11277623520896575610|22</stp>
        <stp>ODFL UW Equity</stp>
        <stp>CHG_PCT_1M_RT</stp>
        <tr r="H356" s="2"/>
      </tp>
      <tp>
        <v>-1.9625999927520752</v>
        <stp/>
        <stp>BDP|2064420611609056073|22</stp>
        <stp>VMC UN Equity</stp>
        <stp>RT_PX_CHG_PCT_1D</stp>
        <tr r="F477" s="2"/>
      </tp>
      <tp>
        <v>-3.8517000000000001</v>
        <stp/>
        <stp>BDP|15213036920836430497|22</stp>
        <stp>ADBE UW Equity</stp>
        <stp>CHG_PCT_3M_RT</stp>
        <tr r="I12" s="2"/>
      </tp>
      <tp>
        <v>-0.50440001487731934</v>
        <stp/>
        <stp>BDP|1164547131286407855|22</stp>
        <stp>ROP UW Equity</stp>
        <stp>RT_PX_CHG_PCT_1D</stp>
        <tr r="F406" s="2"/>
      </tp>
      <tp>
        <v>35.277299999999997</v>
        <stp/>
        <stp>BDP|12306125165190707248|22</stp>
        <stp>NFLX UW Equity</stp>
        <stp>CHG_PCT_3M_RT</stp>
        <tr r="I340" s="2"/>
      </tp>
      <tp>
        <v>-0.22149999439716339</v>
        <stp/>
        <stp>BDP|7796402707171989554|22</stp>
        <stp>TYL UN Equity</stp>
        <stp>RT_PX_CHG_PCT_1D</stp>
        <tr r="F462" s="2"/>
      </tp>
      <tp>
        <v>10.6</v>
        <stp/>
        <stp>BDP|11876017677414231350|22</stp>
        <stp>F UN Equity</stp>
        <stp>LAST_PRICE</stp>
        <tr r="D184" s="2"/>
        <tr r="E184" s="2"/>
        <tr r="B184" s="2"/>
        <tr r="C184" s="2"/>
      </tp>
      <tp>
        <v>-5.0063000000000004</v>
        <stp/>
        <stp>BDP|306150291987824245|22</stp>
        <stp>TGT UN Equity</stp>
        <stp>CHG_PCT_YTD_RT</stp>
        <tr r="J445" s="2"/>
      </tp>
      <tp>
        <v>59.310299999999998</v>
        <stp/>
        <stp>BDP|793680113964209575|22</stp>
        <stp>GLW UN Equity</stp>
        <stp>CHG_PCT_YTD_RT</stp>
        <tr r="J212" s="2"/>
      </tp>
      <tp>
        <v>2.5160999298095703</v>
        <stp/>
        <stp>BDP|7940725372547272885|22</stp>
        <stp>DHR UN Equity</stp>
        <stp>RT_PX_CHG_PCT_1D</stp>
        <tr r="F142" s="2"/>
      </tp>
      <tp>
        <v>-0.16369999945163727</v>
        <stp/>
        <stp>BDP|7173183160696557471|22</stp>
        <stp>MGM UN Equity</stp>
        <stp>RT_PX_CHG_PCT_1D</stp>
        <tr r="F312" s="2"/>
      </tp>
      <tp>
        <v>13.0055</v>
        <stp/>
        <stp>BDP|943475277469182151|22</stp>
        <stp>IBM UN Equity</stp>
        <stp>CHG_PCT_3M_RT</stp>
        <tr r="I242" s="2"/>
      </tp>
      <tp>
        <v>2.8199000358581543</v>
        <stp/>
        <stp>BDP|3959206304588479287|22</stp>
        <stp>HII UN Equity</stp>
        <stp>RT_PX_CHG_PCT_1D</stp>
        <tr r="F229" s="2"/>
      </tp>
      <tp>
        <v>0.2167000025510788</v>
        <stp/>
        <stp>BDP|2904051443624710580|22</stp>
        <stp>NWS UW Equity</stp>
        <stp>RT_PX_CHG_PCT_1D</stp>
        <tr r="F352" s="2"/>
      </tp>
      <tp>
        <v>-3.8543000221252441</v>
        <stp/>
        <stp>BDP|4546268887718988575|22</stp>
        <stp>HWM UN Equity</stp>
        <stp>RT_PX_CHG_PCT_1D</stp>
        <tr r="F241" s="2"/>
      </tp>
      <tp>
        <v>-10.068899999999999</v>
        <stp/>
        <stp>BDP|520909759439750454|22</stp>
        <stp>HCA UN Equity</stp>
        <stp>CHG_PCT_1M_RT</stp>
        <tr r="H225" s="2"/>
      </tp>
      <tp>
        <v>7.6997999999999998</v>
        <stp/>
        <stp>BDP|15316998802898011749|22</stp>
        <stp>SBUX UW Equity</stp>
        <stp>CHG_PCT_3M_RT</stp>
        <tr r="I412" s="2"/>
      </tp>
      <tp>
        <v>-5.6353999999999997</v>
        <stp/>
        <stp>BDP|10165008819174266740|22</stp>
        <stp>UNH UN Equity</stp>
        <stp>CHG_PCT_3M_RT</stp>
        <tr r="I468" s="2"/>
      </tp>
      <tp>
        <v>-3.5893000000000002</v>
        <stp/>
        <stp>BDP|14782789576253565370|22</stp>
        <stp>ELV UN Equity</stp>
        <stp>REALTIME_5_DAY_CHANGE_PERCENT</stp>
        <tr r="G164" s="2"/>
      </tp>
      <tp>
        <v>6.6733000000000002</v>
        <stp/>
        <stp>BDP|14380005314861724363|22</stp>
        <stp>CMG UN Equity</stp>
        <stp>REALTIME_5_DAY_CHANGE_PERCENT</stp>
        <tr r="G103" s="2"/>
      </tp>
      <tp>
        <v>-23.669599999999999</v>
        <stp/>
        <stp>BDP|10632600717580470513|22</stp>
        <stp>TFX UN Equity</stp>
        <stp>CHG_PCT_3M_RT</stp>
        <tr r="I444" s="2"/>
      </tp>
      <tp>
        <v>-1.5858000000000001</v>
        <stp/>
        <stp>BDP|11036502588967231658|22</stp>
        <stp>FIS UN Equity</stp>
        <stp>REALTIME_5_DAY_CHANGE_PERCENT</stp>
        <tr r="G194" s="2"/>
      </tp>
      <tp>
        <v>-2.0493999999999999</v>
        <stp/>
        <stp>BDP|14494886582135684765|22</stp>
        <stp>DGX UN Equity</stp>
        <stp>REALTIME_5_DAY_CHANGE_PERCENT</stp>
        <tr r="G140" s="2"/>
      </tp>
      <tp>
        <v>0.25979999999999998</v>
        <stp/>
        <stp>BDP|11070801805684239040|22</stp>
        <stp>PNC UN Equity</stp>
        <stp>CHG_PCT_1M_RT</stp>
        <tr r="H382" s="2"/>
      </tp>
      <tp>
        <v>0.54969999999999997</v>
        <stp/>
        <stp>BDP|13851693559948509297|22</stp>
        <stp>PRU UN Equity</stp>
        <stp>CHG_PCT_1M_RT</stp>
        <tr r="H389" s="2"/>
      </tp>
      <tp>
        <v>0.30909999999999999</v>
        <stp/>
        <stp>BDP|14560983898309946275|22</stp>
        <stp>LVS UN Equity</stp>
        <stp>REALTIME_5_DAY_CHANGE_PERCENT</stp>
        <tr r="G296" s="2"/>
      </tp>
      <tp>
        <v>-4.4707999999999997</v>
        <stp/>
        <stp>BDP|16918373661602252927|22</stp>
        <stp>URI UN Equity</stp>
        <stp>CHG_PCT_1M_RT</stp>
        <tr r="H471" s="2"/>
      </tp>
      <tp>
        <v>0.17499999701976776</v>
        <stp/>
        <stp>BDP|127142645114774529|22</stp>
        <stp>COLCAP Index</stp>
        <stp>RT_PX_CHG_PCT_1D</stp>
        <tr r="F513" s="2"/>
      </tp>
      <tp>
        <v>-10.505599999999999</v>
        <stp/>
        <stp>BDP|15565429420388850149|22</stp>
        <stp>PEP UW Equity</stp>
        <stp>CHG_PCT_3M_RT</stp>
        <tr r="I371" s="2"/>
      </tp>
      <tp>
        <v>-7.8769999999999998</v>
        <stp/>
        <stp>BDP|13690636319996959725|22</stp>
        <stp>AMD UW Equity</stp>
        <stp>REALTIME_5_DAY_CHANGE_PERCENT</stp>
        <tr r="G31" s="2"/>
      </tp>
      <tp>
        <v>-0.64590000000000003</v>
        <stp/>
        <stp>BDP|14290724776840817151|22</stp>
        <stp>FTV UN Equity</stp>
        <stp>REALTIME_5_DAY_CHANGE_PERCENT</stp>
        <tr r="G202" s="2"/>
      </tp>
      <tp>
        <v>80.61</v>
        <stp/>
        <stp>BDP|3835795375105924507|22</stp>
        <stp>BK UN Equity</stp>
        <stp>LAST_PRICE</stp>
        <tr r="C65" s="2"/>
        <tr r="D65" s="2"/>
        <tr r="E65" s="2"/>
        <tr r="B65" s="2"/>
      </tp>
      <tp>
        <v>16.057600000000001</v>
        <stp/>
        <stp>BDP|9418940048200769658|22</stp>
        <stp>DE UN Equity</stp>
        <stp>CHG_PCT_3M_RT</stp>
        <tr r="I135" s="2"/>
      </tp>
      <tp>
        <v>10.880599999999999</v>
        <stp/>
        <stp>BDP|9110537521972364594|22</stp>
        <stp>BR UN Equity</stp>
        <stp>CHG_PCT_3M_RT</stp>
        <tr r="I71" s="2"/>
      </tp>
      <tp>
        <v>-2.7884000000000002</v>
        <stp/>
        <stp>BDP|6810717179806870864|22</stp>
        <stp>IP UN Equity</stp>
        <stp>CHG_PCT_1M_RT</stp>
        <tr r="H251" s="2"/>
      </tp>
      <tp>
        <v>30.9635</v>
        <stp/>
        <stp>BDP|4282841534110530836|22</stp>
        <stp>MS UN Equity</stp>
        <stp>CHG_PCT_3M_RT</stp>
        <tr r="I327" s="2"/>
      </tp>
      <tp>
        <v>-1.8594999999999999</v>
        <stp/>
        <stp>BDP|6490227184749218925|22</stp>
        <stp>BG UN Equity</stp>
        <stp>CHG_PCT_1M_RT</stp>
        <tr r="H63" s="2"/>
      </tp>
      <tp>
        <v>38.492899999999999</v>
        <stp/>
        <stp>BDP|10069740633541587648|22</stp>
        <stp>CRWD UW Equity</stp>
        <stp>CHG_PCT_YTD_RT</stp>
        <tr r="J119" s="2"/>
      </tp>
      <tp>
        <v>0.34760001301765442</v>
        <stp/>
        <stp>BDP|14748039729293722092|22</stp>
        <stp>VICI UN Equity</stp>
        <stp>RT_PX_CHG_PCT_1D</stp>
        <tr r="F474" s="2"/>
      </tp>
      <tp>
        <v>37.482100000000003</v>
        <stp/>
        <stp>BDP|12950958226186808881|22</stp>
        <stp>HUBB UN Equity</stp>
        <stp>CHG_PCT_YTD_RT</stp>
        <tr r="J239" s="2"/>
      </tp>
      <tp>
        <v>-1.3370000123977661</v>
        <stp/>
        <stp>BDP|10747069275347653549|22</stp>
        <stp>PAYX UW Equity</stp>
        <stp>RT_PX_CHG_PCT_1D</stp>
        <tr r="F367" s="2"/>
      </tp>
      <tp>
        <v>3.2887001037597656</v>
        <stp/>
        <stp>BDP|13033542759425006261|22</stp>
        <stp>RVTY UN Equity</stp>
        <stp>RT_PX_CHG_PCT_1D</stp>
        <tr r="F410" s="2"/>
      </tp>
      <tp>
        <v>-3.2046999999999999</v>
        <stp/>
        <stp>BDP|10491151098874982151|22</stp>
        <stp>AMAT UW Equity</stp>
        <stp>CHG_PCT_3M_RT</stp>
        <tr r="I29" s="2"/>
      </tp>
      <tp>
        <v>-2.3006000518798828</v>
        <stp/>
        <stp>BDP|6394668963588202803|22</stp>
        <stp>WFC UN Equity</stp>
        <stp>RT_PX_CHG_PCT_1D</stp>
        <tr r="F492" s="2"/>
      </tp>
      <tp>
        <v>1.1763999462127686</v>
        <stp/>
        <stp>BDP|5886103376655630609|22</stp>
        <stp>SJM UN Equity</stp>
        <stp>RT_PX_CHG_PCT_1D</stp>
        <tr r="F415" s="2"/>
      </tp>
      <tp>
        <v>-0.66200000047683716</v>
        <stp/>
        <stp>BDP|7757384355669871657|22</stp>
        <stp>PTC UW Equity</stp>
        <stp>RT_PX_CHG_PCT_1D</stp>
        <tr r="F392" s="2"/>
      </tp>
      <tp>
        <v>-2.9354</v>
        <stp/>
        <stp>BDP|752732955202905712|22</stp>
        <stp>XEL UW Equity</stp>
        <stp>REALTIME_5_DAY_CHANGE_PERCENT</stp>
        <tr r="G501" s="2"/>
      </tp>
      <tp>
        <v>-4.0012999999999996</v>
        <stp/>
        <stp>BDP|11645295089021294572|22</stp>
        <stp>CTVA UN Equity</stp>
        <stp>REALTIME_5_DAY_CHANGE_PERCENT</stp>
        <tr r="G127" s="2"/>
      </tp>
      <tp>
        <v>-3.7709000000000001</v>
        <stp/>
        <stp>BDP|12683363096612970592|22</stp>
        <stp>HOLX UW Equity</stp>
        <stp>CHG_PCT_1M_RT</stp>
        <tr r="H231" s="2"/>
      </tp>
      <tp>
        <v>-0.88230001926422119</v>
        <stp/>
        <stp>BDP|5666649683173783221|22</stp>
        <stp>ACN UN Equity</stp>
        <stp>RT_PX_CHG_PCT_1D</stp>
        <tr r="F11" s="2"/>
      </tp>
      <tp>
        <v>0.2362000048160553</v>
        <stp/>
        <stp>BDP|3961967841129102627|22</stp>
        <stp>IFF UN Equity</stp>
        <stp>RT_PX_CHG_PCT_1D</stp>
        <tr r="F246" s="2"/>
      </tp>
      <tp>
        <v>9.1242999999999999</v>
        <stp/>
        <stp>BDP|11276776598190915103|22</stp>
        <stp>INTC UW Equity</stp>
        <stp>CHG_PCT_3M_RT</stp>
        <tr r="I248" s="2"/>
      </tp>
      <tp>
        <v>-3.2056999206542969</v>
        <stp/>
        <stp>BDP|7828204491278935180|22</stp>
        <stp>BRO UN Equity</stp>
        <stp>RT_PX_CHG_PCT_1D</stp>
        <tr r="F73" s="2"/>
      </tp>
      <tp>
        <v>6.4576000000000002</v>
        <stp/>
        <stp>BDP|17373271710451488927|22</stp>
        <stp>BLDR UN Equity</stp>
        <stp>CHG_PCT_3M_RT</stp>
        <tr r="I68" s="2"/>
      </tp>
      <tp>
        <v>0.7993999719619751</v>
        <stp/>
        <stp>BDP|7140947677042857131|22</stp>
        <stp>MCD UN Equity</stp>
        <stp>RT_PX_CHG_PCT_1D</stp>
        <tr r="F304" s="2"/>
      </tp>
      <tp>
        <v>-1.5109000205993652</v>
        <stp/>
        <stp>BDP|6484901091203551479|22</stp>
        <stp>NSC UN Equity</stp>
        <stp>RT_PX_CHG_PCT_1D</stp>
        <tr r="F346" s="2"/>
      </tp>
      <tp>
        <v>-3.3775999546051025</v>
        <stp/>
        <stp>BDP|3037082679823580656|22</stp>
        <stp>IBM UN Equity</stp>
        <stp>RT_PX_CHG_PCT_1D</stp>
        <tr r="F242" s="2"/>
      </tp>
      <tp>
        <v>-0.89810000000000001</v>
        <stp/>
        <stp>BDP|15911760283981253518|22</stp>
        <stp>ROP UW Equity</stp>
        <stp>CHG_PCT_3M_RT</stp>
        <tr r="I406" s="2"/>
      </tp>
      <tp>
        <v>-4.7735000000000003</v>
        <stp/>
        <stp>BDP|15750214905625805824|22</stp>
        <stp>TSN UN Equity</stp>
        <stp>CHG_PCT_3M_RT</stp>
        <tr r="I457" s="2"/>
      </tp>
      <tp>
        <v>-5.0552000000000001</v>
        <stp/>
        <stp>BDP|17954880124708525349|22</stp>
        <stp>ATO UN Equity</stp>
        <stp>REALTIME_5_DAY_CHANGE_PERCENT</stp>
        <tr r="G47" s="2"/>
      </tp>
      <tp>
        <v>-2.6751</v>
        <stp/>
        <stp>BDP|13051784602040015114|22</stp>
        <stp>GWW UN Equity</stp>
        <stp>REALTIME_5_DAY_CHANGE_PERCENT</stp>
        <tr r="G221" s="2"/>
      </tp>
      <tp>
        <v>128.58000000000001</v>
        <stp/>
        <stp>BDP|2592513905432626123|22</stp>
        <stp>MS UN Equity</stp>
        <stp>LAST_PRICE</stp>
        <tr r="D327" s="2"/>
        <tr r="E327" s="2"/>
        <tr r="B327" s="2"/>
        <tr r="C327" s="2"/>
      </tp>
      <tp>
        <v>594.12</v>
        <stp/>
        <stp>BDP|2938703125443149092|22</stp>
        <stp>GS UN Equity</stp>
        <stp>LAST_PRICE</stp>
        <tr r="B220" s="2"/>
        <tr r="C220" s="2"/>
        <tr r="D220" s="2"/>
        <tr r="E220" s="2"/>
      </tp>
      <tp>
        <v>-0.2223</v>
        <stp/>
        <stp>BDP|1522174385112704559|22</stp>
        <stp>DG UN Equity</stp>
        <stp>CHG_PCT_3M_RT</stp>
        <tr r="I139" s="2"/>
      </tp>
      <tp>
        <v>3.8787000179290771</v>
        <stp/>
        <stp>BDP|17397391455317907189|22</stp>
        <stp>TECH UW Equity</stp>
        <stp>RT_PX_CHG_PCT_1D</stp>
        <tr r="F440" s="2"/>
      </tp>
      <tp>
        <v>19.674299999999999</v>
        <stp/>
        <stp>BDP|17323649187140326833|22</stp>
        <stp>EVRG UW Equity</stp>
        <stp>CHG_PCT_YTD_RT</stp>
        <tr r="J178" s="2"/>
      </tp>
      <tp>
        <v>-16.8629</v>
        <stp/>
        <stp>BDP|14271044364093970010|22</stp>
        <stp>EPAM UN Equity</stp>
        <stp>CHG_PCT_YTD_RT</stp>
        <tr r="J169" s="2"/>
      </tp>
      <tp>
        <v>-0.95410001277923584</v>
        <stp/>
        <stp>BDP|17210570786543156658|22</stp>
        <stp>TTWO UW Equity</stp>
        <stp>RT_PX_CHG_PCT_1D</stp>
        <tr r="F459" s="2"/>
      </tp>
      <tp>
        <v>17.927499999999998</v>
        <stp/>
        <stp>BDP|1386228127112934233|22</stp>
        <stp>GOOGL UW Equity</stp>
        <stp>CHG_PCT_3M_RT</stp>
        <tr r="I216" s="2"/>
      </tp>
      <tp>
        <v>-0.93809998035430908</v>
        <stp/>
        <stp>BDP|7814425555025943584|22</stp>
        <stp>WBD UW Equity</stp>
        <stp>RT_PX_CHG_PCT_1D</stp>
        <tr r="F488" s="2"/>
      </tp>
      <tp>
        <v>-6.5697999999999999</v>
        <stp/>
        <stp>BDP|18218442909278218952|22</stp>
        <stp>GNRC UN Equity</stp>
        <stp>CHG_PCT_1M_RT</stp>
        <tr r="H214" s="2"/>
      </tp>
      <tp>
        <v>3.0536000728607178</v>
        <stp/>
        <stp>BDP|5891098851727256377|22</stp>
        <stp>PLD UN Equity</stp>
        <stp>RT_PX_CHG_PCT_1D</stp>
        <tr r="F379" s="2"/>
      </tp>
      <tp>
        <v>-0.2707</v>
        <stp/>
        <stp>BDP|942513458289001860|22</stp>
        <stp>APH UN Equity</stp>
        <stp>CHG_PCT_1M_RT</stp>
        <tr r="H44" s="2"/>
      </tp>
      <tp>
        <v>0.67900002002716064</v>
        <stp/>
        <stp>BDP|8370570420049708613|22</stp>
        <stp>MRK UN Equity</stp>
        <stp>RT_PX_CHG_PCT_1D</stp>
        <tr r="F325" s="2"/>
      </tp>
      <tp>
        <v>0.56739997863769531</v>
        <stp/>
        <stp>BDP|4215824394476447741|22</stp>
        <stp>COO UW Equity</stp>
        <stp>RT_PX_CHG_PCT_1D</stp>
        <tr r="F109" s="2"/>
      </tp>
      <tp>
        <v>0.94889999999999997</v>
        <stp/>
        <stp>BDP|376347005977057601|22</stp>
        <stp>HLT UN Equity</stp>
        <stp>CHG_PCT_1M_RT</stp>
        <tr r="H230" s="2"/>
      </tp>
      <tp>
        <v>-5.5704002380371094</v>
        <stp/>
        <stp>BDP|3214924574108567056|22</stp>
        <stp>AMD UW Equity</stp>
        <stp>RT_PX_CHG_PCT_1D</stp>
        <tr r="F31" s="2"/>
      </tp>
      <tp>
        <v>-11.4937</v>
        <stp/>
        <stp>BDP|17433115478850625051|22</stp>
        <stp>ABBV UN Equity</stp>
        <stp>CHG_PCT_1M_RT</stp>
        <tr r="H7" s="2"/>
      </tp>
      <tp>
        <v>1.1787000000000001</v>
        <stp/>
        <stp>BDP|10249532388627034002|22</stp>
        <stp>VICI UN Equity</stp>
        <stp>CHG_PCT_1M_RT</stp>
        <tr r="H474" s="2"/>
      </tp>
      <tp>
        <v>-7.0483000000000002</v>
        <stp/>
        <stp>BDP|14161666224073283863|22</stp>
        <stp>CHTR UW Equity</stp>
        <stp>CHG_PCT_1M_RT</stp>
        <tr r="H96" s="2"/>
      </tp>
      <tp>
        <v>-3.9117999999999999</v>
        <stp/>
        <stp>BDP|11728639401418664534|22</stp>
        <stp>TRGP UN Equity</stp>
        <stp>REALTIME_5_DAY_CHANGE_PERCENT</stp>
        <tr r="G451" s="2"/>
      </tp>
      <tp>
        <v>8.2299999892711639E-2</v>
        <stp/>
        <stp>BDP|3278635070262314525|22</stp>
        <stp>FDX UN Equity</stp>
        <stp>RT_PX_CHG_PCT_1D</stp>
        <tr r="F189" s="2"/>
      </tp>
      <tp>
        <v>-3.3471000000000002</v>
        <stp/>
        <stp>BDP|398812554537538520|22</stp>
        <stp>SNA UN Equity</stp>
        <stp>REALTIME_5_DAY_CHANGE_PERCENT</stp>
        <tr r="G418" s="2"/>
      </tp>
      <tp>
        <v>-3.2732000350952148</v>
        <stp/>
        <stp>BDP|1583090831695490263|22</stp>
        <stp>HLT UN Equity</stp>
        <stp>RT_PX_CHG_PCT_1D</stp>
        <tr r="F230" s="2"/>
      </tp>
      <tp>
        <v>-8.9621999999999993</v>
        <stp/>
        <stp>BDP|14087060268537768684|22</stp>
        <stp>UNH UN Equity</stp>
        <stp>CHG_PCT_1M_RT</stp>
        <tr r="H468" s="2"/>
      </tp>
      <tp>
        <v>9.3011999999999997</v>
        <stp/>
        <stp>BDP|17866961954772683353|22</stp>
        <stp>PEG UN Equity</stp>
        <stp>CHG_PCT_3M_RT</stp>
        <tr r="I370" s="2"/>
      </tp>
      <tp>
        <v>-5.5449999999999999</v>
        <stp/>
        <stp>BDP|15868396857896451088|22</stp>
        <stp>STX UW Equity</stp>
        <stp>CHG_PCT_1M_RT</stp>
        <tr r="H428" s="2"/>
      </tp>
      <tp>
        <v>-2.0764</v>
        <stp/>
        <stp>BDP|10712349304624337145|22</stp>
        <stp>DLR UN Equity</stp>
        <stp>REALTIME_5_DAY_CHANGE_PERCENT</stp>
        <tr r="G144" s="2"/>
      </tp>
      <tp>
        <v>-3.7814000000000001</v>
        <stp/>
        <stp>BDP|10138909224562683620|22</stp>
        <stp>TDY UN Equity</stp>
        <stp>CHG_PCT_1M_RT</stp>
        <tr r="H439" s="2"/>
      </tp>
      <tp>
        <v>0.83109999999999995</v>
        <stp/>
        <stp>BDP|13266832771570338924|22</stp>
        <stp>UDR UN Equity</stp>
        <stp>CHG_PCT_3M_RT</stp>
        <tr r="I465" s="2"/>
      </tp>
      <tp>
        <v>-1.8932</v>
        <stp/>
        <stp>BDP|14887576933321457203|22</stp>
        <stp>PCG UN Equity</stp>
        <stp>CHG_PCT_1M_RT</stp>
        <tr r="H369" s="2"/>
      </tp>
      <tp>
        <v>2.0615000000000001</v>
        <stp/>
        <stp>BDP|13902910434474809433|22</stp>
        <stp>SJM UN Equity</stp>
        <stp>CHG_PCT_1M_RT</stp>
        <tr r="H415" s="2"/>
      </tp>
      <tp>
        <v>-5.1094999999999997</v>
        <stp/>
        <stp>BDP|16654224656738750558|22</stp>
        <stp>AON UN Equity</stp>
        <stp>REALTIME_5_DAY_CHANGE_PERCENT</stp>
        <tr r="G40" s="2"/>
      </tp>
      <tp>
        <v>4.9061000000000003</v>
        <stp/>
        <stp>BDP|17810092523759758223|22</stp>
        <stp>STT UN Equity</stp>
        <stp>CHG_PCT_1M_RT</stp>
        <tr r="H427" s="2"/>
      </tp>
      <tp>
        <v>2.1886999999999999</v>
        <stp/>
        <stp>BDP|13303163989394918536|22</stp>
        <stp>PPL UN Equity</stp>
        <stp>CHG_PCT_3M_RT</stp>
        <tr r="I388" s="2"/>
      </tp>
      <tp>
        <v>-5.6414</v>
        <stp/>
        <stp>BDP|15620707742099207056|22</stp>
        <stp>RTX UN Equity</stp>
        <stp>CHG_PCT_1M_RT</stp>
        <tr r="H409" s="2"/>
      </tp>
      <tp>
        <v>-3.3477999999999999</v>
        <stp/>
        <stp>BDP|18402942846849746018|22</stp>
        <stp>HWM UN Equity</stp>
        <stp>REALTIME_5_DAY_CHANGE_PERCENT</stp>
        <tr r="G241" s="2"/>
      </tp>
      <tp>
        <v>-0.27160000000000001</v>
        <stp/>
        <stp>BDP|10704003845958257851|22</stp>
        <stp>UPS UN Equity</stp>
        <stp>CHG_PCT_3M_RT</stp>
        <tr r="I470" s="2"/>
      </tp>
      <tp>
        <v>-1.8105</v>
        <stp/>
        <stp>BDP|16441130697739530344|22</stp>
        <stp>DPZ UN Equity</stp>
        <stp>REALTIME_5_DAY_CHANGE_PERCENT</stp>
        <tr r="G149" s="2"/>
      </tp>
      <tp>
        <v>-2.7191999999999998</v>
        <stp/>
        <stp>BDP|15549406113850736042|22</stp>
        <stp>PWR UN Equity</stp>
        <stp>CHG_PCT_1M_RT</stp>
        <tr r="H393" s="2"/>
      </tp>
      <tp>
        <v>88.22</v>
        <stp/>
        <stp>BDP|5369270838768926864|22</stp>
        <stp>CF UN Equity</stp>
        <stp>LAST_PRICE</stp>
        <tr r="D92" s="2"/>
        <tr r="E92" s="2"/>
        <tr r="B92" s="2"/>
        <tr r="C92" s="2"/>
      </tp>
      <tp>
        <v>81.680000000000007</v>
        <stp/>
        <stp>BDP|4454028454804227756|22</stp>
        <stp>EL UN Equity</stp>
        <stp>LAST_PRICE</stp>
        <tr r="B163" s="2"/>
        <tr r="E163" s="2"/>
        <tr r="C163" s="2"/>
        <tr r="D163" s="2"/>
      </tp>
      <tp>
        <v>-0.16539999842643738</v>
        <stp/>
        <stp>BDP|3364483868197869759|22</stp>
        <stp>SHSZ300 Index</stp>
        <stp>RT_PX_CHG_PCT_1D</stp>
        <tr r="F530" s="2"/>
      </tp>
      <tp>
        <v>0.44960001111030579</v>
        <stp/>
        <stp>BDP|12778567619383212179|22</stp>
        <stp>TSCO UW Equity</stp>
        <stp>RT_PX_CHG_PCT_1D</stp>
        <tr r="F455" s="2"/>
      </tp>
      <tp>
        <v>-0.9570000171661377</v>
        <stp/>
        <stp>BDP|1541526146322630107|22</stp>
        <stp>VTR UN Equity</stp>
        <stp>RT_PX_CHG_PCT_1D</stp>
        <tr r="F482" s="2"/>
      </tp>
      <tp>
        <v>-1.0746</v>
        <stp/>
        <stp>BDP|12526342320089949781|22</stp>
        <stp>PODD UW Equity</stp>
        <stp>CHG_PCT_1M_RT</stp>
        <tr r="H385" s="2"/>
      </tp>
      <tp>
        <v>-4.7144000000000004</v>
        <stp/>
        <stp>BDP|13879981269236083774|22</stp>
        <stp>CTRA UN Equity</stp>
        <stp>REALTIME_5_DAY_CHANGE_PERCENT</stp>
        <tr r="G125" s="2"/>
      </tp>
      <tp>
        <v>0.71979999542236328</v>
        <stp/>
        <stp>BDP|9771315118444101563|22</stp>
        <stp>TAP UN Equity</stp>
        <stp>RT_PX_CHG_PCT_1D</stp>
        <tr r="F437" s="2"/>
      </tp>
      <tp>
        <v>2.5514000000000001</v>
        <stp/>
        <stp>BDP|658474685581411195|22</stp>
        <stp>HON UW Equity</stp>
        <stp>CHG_PCT_1M_RT</stp>
        <tr r="H232" s="2"/>
      </tp>
      <tp>
        <v>-0.70830000000000004</v>
        <stp/>
        <stp>BDP|916362520479278445|22</stp>
        <stp>CVS UN Equity</stp>
        <stp>CHG_PCT_3M_RT</stp>
        <tr r="I128" s="2"/>
      </tp>
      <tp>
        <v>-37.987699999999997</v>
        <stp/>
        <stp>BDP|999042990738309193|22</stp>
        <stp>APA UW Equity</stp>
        <stp>CHG_PCT_YTD_RT</stp>
        <tr r="J42" s="2"/>
      </tp>
      <tp>
        <v>2.2218000888824463</v>
        <stp/>
        <stp>BDP|6777927520685405333|22</stp>
        <stp>STZ UN Equity</stp>
        <stp>RT_PX_CHG_PCT_1D</stp>
        <tr r="F429" s="2"/>
      </tp>
      <tp>
        <v>-6.1875</v>
        <stp/>
        <stp>BDP|14488576695462079161|22</stp>
        <stp>GILD UW Equity</stp>
        <stp>CHG_PCT_1M_RT</stp>
        <tr r="H209" s="2"/>
      </tp>
      <tp>
        <v>7.4560000000000004</v>
        <stp/>
        <stp>BDP|13189738064801454583|22</stp>
        <stp>ODFL UW Equity</stp>
        <stp>CHG_PCT_3M_RT</stp>
        <tr r="I356" s="2"/>
      </tp>
      <tp>
        <v>-5.9299999999999999E-2</v>
        <stp/>
        <stp>BDP|14792763676401206917|22</stp>
        <stp>INVH UN Equity</stp>
        <stp>CHG_PCT_1M_RT</stp>
        <tr r="H250" s="2"/>
      </tp>
      <tp>
        <v>17.970099999999999</v>
        <stp/>
        <stp>BDP|12283890168165019953|22</stp>
        <stp>ABNB UW Equity</stp>
        <stp>CHG_PCT_3M_RT</stp>
        <tr r="I8" s="2"/>
      </tp>
      <tp>
        <v>6.1999000000000004</v>
        <stp/>
        <stp>BDP|15517241031162286808|22</stp>
        <stp>DLTR UW Equity</stp>
        <stp>CHG_PCT_3M_RT</stp>
        <tr r="I145" s="2"/>
      </tp>
      <tp>
        <v>0.33660000562667847</v>
        <stp/>
        <stp>BDP|8148882843113025390|22</stp>
        <stp>BLK UN Equity</stp>
        <stp>RT_PX_CHG_PCT_1D</stp>
        <tr r="F69" s="2"/>
      </tp>
      <tp>
        <v>0.15719999372959137</v>
        <stp/>
        <stp>BDP|5242746008017147203|22</stp>
        <stp>BAX UN Equity</stp>
        <stp>RT_PX_CHG_PCT_1D</stp>
        <tr r="F58" s="2"/>
      </tp>
      <tp>
        <v>-3.2137999534606934</v>
        <stp/>
        <stp>BDP|3392334279511299674|22</stp>
        <stp>NRG UN Equity</stp>
        <stp>RT_PX_CHG_PCT_1D</stp>
        <tr r="F345" s="2"/>
      </tp>
      <tp>
        <v>10.192</v>
        <stp/>
        <stp>BDP|17164527757928292261|22</stp>
        <stp>COST UW Equity</stp>
        <stp>CHG_PCT_3M_RT</stp>
        <tr r="I112" s="2"/>
      </tp>
      <tp>
        <v>-6.5282999999999998</v>
        <stp/>
        <stp>BDP|13391549501038543781|22</stp>
        <stp>MKTX UW Equity</stp>
        <stp>CHG_PCT_3M_RT</stp>
        <tr r="I315" s="2"/>
      </tp>
      <tp>
        <v>2.0255999565124512</v>
        <stp/>
        <stp>BDP|9854244986678244776|22</stp>
        <stp>GPC UN Equity</stp>
        <stp>RT_PX_CHG_PCT_1D</stp>
        <tr r="F217" s="2"/>
      </tp>
      <tp>
        <v>1.5657999515533447</v>
        <stp/>
        <stp>BDP|2919400924130375992|22</stp>
        <stp>MHK UN Equity</stp>
        <stp>RT_PX_CHG_PCT_1D</stp>
        <tr r="F313" s="2"/>
      </tp>
      <tp>
        <v>0.64999997615814209</v>
        <stp/>
        <stp>BDP|3549010889108283568|22</stp>
        <stp>HES UN Equity</stp>
        <stp>RT_PX_CHG_PCT_1D</stp>
        <tr r="F227" s="2"/>
      </tp>
      <tp>
        <v>-0.4919</v>
        <stp/>
        <stp>BDP|13952820147382890649|22</stp>
        <stp>WEC UN Equity</stp>
        <stp>CHG_PCT_1M_RT</stp>
        <tr r="H490" s="2"/>
      </tp>
      <tp>
        <v>-6.7488999999999999</v>
        <stp/>
        <stp>BDP|17713553626316330536|22</stp>
        <stp>CPB UW Equity</stp>
        <stp>REALTIME_5_DAY_CHANGE_PERCENT</stp>
        <tr r="G114" s="2"/>
      </tp>
      <tp>
        <v>4.6125999999999996</v>
        <stp/>
        <stp>BDP|15151529284822869494|22</stp>
        <stp>TEL UN Equity</stp>
        <stp>CHG_PCT_3M_RT</stp>
        <tr r="I441" s="2"/>
      </tp>
      <tp>
        <v>0.20619999999999999</v>
        <stp/>
        <stp>BDP|10377036689243374394|22</stp>
        <stp>FCX UN Equity</stp>
        <stp>REALTIME_5_DAY_CHANGE_PERCENT</stp>
        <tr r="G187" s="2"/>
      </tp>
      <tp>
        <v>33.027999999999999</v>
        <stp/>
        <stp>BDP|16487583778997312533|22</stp>
        <stp>WFC UN Equity</stp>
        <stp>CHG_PCT_3M_RT</stp>
        <tr r="I492" s="2"/>
      </tp>
      <tp>
        <v>-1.2899</v>
        <stp/>
        <stp>BDP|10326043900346010864|22</stp>
        <stp>WTW UW Equity</stp>
        <stp>CHG_PCT_1M_RT</stp>
        <tr r="H498" s="2"/>
      </tp>
      <tp>
        <v>-1.1343000000000001</v>
        <stp/>
        <stp>BDP|13360135309340707032|22</stp>
        <stp>GPN UN Equity</stp>
        <stp>REALTIME_5_DAY_CHANGE_PERCENT</stp>
        <tr r="G218" s="2"/>
      </tp>
      <tp>
        <v>0</v>
        <stp/>
        <stp>BDP|10019205496921860822|22</stp>
        <stp>HPQ UN Equity</stp>
        <stp>REALTIME_5_DAY_CHANGE_PERCENT</stp>
        <tr r="G234" s="2"/>
      </tp>
      <tp>
        <v>-1.9347000000000001</v>
        <stp/>
        <stp>BDP|11732077510581707011|22</stp>
        <stp>TRV UN Equity</stp>
        <stp>CHG_PCT_1M_RT</stp>
        <tr r="H454" s="2"/>
      </tp>
      <tp>
        <v>16.316199999999998</v>
        <stp/>
        <stp>BDP|2425409011352735083|22</stp>
        <stp>TT UN Equity</stp>
        <stp>CHG_PCT_3M_RT</stp>
        <tr r="I458" s="2"/>
      </tp>
      <tp>
        <v>-0.28080001473426819</v>
        <stp/>
        <stp>BDP|270658533921447089|22</stp>
        <stp>CTRA UN Equity</stp>
        <stp>RT_PX_CHG_PCT_1D</stp>
        <tr r="F125" s="2"/>
      </tp>
      <tp t="s">
        <v>#N/A N/A</v>
        <stp/>
        <stp>BDP|13918205847594571925|22</stp>
        <stp>RTSI$ Index</stp>
        <stp>CHG_PCT_1M_RT</stp>
        <tr r="H526" s="2"/>
      </tp>
      <tp>
        <v>449.41</v>
        <stp/>
        <stp>BDP|9108746604882137536|22</stp>
        <stp>DE UN Equity</stp>
        <stp>LAST_PRICE</stp>
        <tr r="B135" s="2"/>
        <tr r="E135" s="2"/>
        <tr r="C135" s="2"/>
        <tr r="D135" s="2"/>
      </tp>
      <tp>
        <v>1.1402000188827515</v>
        <stp/>
        <stp>BDP|465219696372662590|22</stp>
        <stp>EXPD UN Equity</stp>
        <stp>RT_PX_CHG_PCT_1D</stp>
        <tr r="F181" s="2"/>
      </tp>
      <tp>
        <v>92.94</v>
        <stp/>
        <stp>BDP|5251922314533747819|22</stp>
        <stp>CL UN Equity</stp>
        <stp>LAST_PRICE</stp>
        <tr r="B99" s="2"/>
        <tr r="E99" s="2"/>
        <tr r="C99" s="2"/>
        <tr r="D99" s="2"/>
      </tp>
      <tp>
        <v>3.5337999999999998</v>
        <stp/>
        <stp>BDP|8907179145210966335|22</stp>
        <stp>BA UN Equity</stp>
        <stp>CHG_PCT_1M_RT</stp>
        <tr r="H55" s="2"/>
      </tp>
      <tp>
        <v>5.0025000000000004</v>
        <stp/>
        <stp>BDP|6267214367225485430|22</stp>
        <stp>DD UN Equity</stp>
        <stp>CHG_PCT_3M_RT</stp>
        <tr r="I134" s="2"/>
      </tp>
      <tp>
        <v>102.54</v>
        <stp/>
        <stp>BDP|6699838746406522146|22</stp>
        <stp>IR UN Equity</stp>
        <stp>LAST_PRICE</stp>
        <tr r="B254" s="2"/>
        <tr r="E254" s="2"/>
        <tr r="C254" s="2"/>
        <tr r="D254" s="2"/>
      </tp>
      <tp>
        <v>-2.6362000000000001</v>
        <stp/>
        <stp>BDP|8295552562160824050|22</stp>
        <stp>LH UN Equity</stp>
        <stp>CHG_PCT_1M_RT</stp>
        <tr r="H285" s="2"/>
      </tp>
      <tp>
        <v>5.8090999999999999</v>
        <stp/>
        <stp>BDP|12034986590241283943|22</stp>
        <stp>AMCR UN Equity</stp>
        <stp>CHG_PCT_YTD_RT</stp>
        <tr r="J30" s="2"/>
      </tp>
      <tp>
        <v>2.190500020980835</v>
        <stp/>
        <stp>BDP|1625772478065126150|22</stp>
        <stp>TGT UN Equity</stp>
        <stp>RT_PX_CHG_PCT_1D</stp>
        <tr r="F445" s="2"/>
      </tp>
      <tp>
        <v>2.3582000732421875</v>
        <stp/>
        <stp>BDP|8515970953584919587|22</stp>
        <stp>XYL UN Equity</stp>
        <stp>RT_PX_CHG_PCT_1D</stp>
        <tr r="F503" s="2"/>
      </tp>
      <tp>
        <v>-6.7462999999999997</v>
        <stp/>
        <stp>BDP|15376798301532849489|22</stp>
        <stp>FANG UW Equity</stp>
        <stp>CHG_PCT_3M_RT</stp>
        <tr r="I185" s="2"/>
      </tp>
      <tp>
        <v>-0.97329998016357422</v>
        <stp/>
        <stp>BDP|9133358483973314261|22</stp>
        <stp>TFC UN Equity</stp>
        <stp>RT_PX_CHG_PCT_1D</stp>
        <tr r="F443" s="2"/>
      </tp>
      <tp>
        <v>-0.85170000791549683</v>
        <stp/>
        <stp>BDP|2953291490639570267|22</stp>
        <stp>TPL UN Equity</stp>
        <stp>RT_PX_CHG_PCT_1D</stp>
        <tr r="F449" s="2"/>
      </tp>
      <tp>
        <v>0.47009998559951782</v>
        <stp/>
        <stp>BDP|6164017965852595962|22</stp>
        <stp>PSA UN Equity</stp>
        <stp>RT_PX_CHG_PCT_1D</stp>
        <tr r="F390" s="2"/>
      </tp>
      <tp>
        <v>22.5228</v>
        <stp/>
        <stp>BDP|16420532414966692510|22</stp>
        <stp>CDNS UW Equity</stp>
        <stp>CHG_PCT_3M_RT</stp>
        <tr r="I88" s="2"/>
      </tp>
      <tp>
        <v>-5.0747</v>
        <stp/>
        <stp>BDP|15461061430133707272|22</stp>
        <stp>JBHT UW Equity</stp>
        <stp>CHG_PCT_1M_RT</stp>
        <tr r="H261" s="2"/>
      </tp>
      <tp>
        <v>-0.91519999504089355</v>
        <stp/>
        <stp>BDP|6810845433040648312|22</stp>
        <stp>SRE UN Equity</stp>
        <stp>RT_PX_CHG_PCT_1D</stp>
        <tr r="F424" s="2"/>
      </tp>
      <tp>
        <v>-2.7667000000000002</v>
        <stp/>
        <stp>BDP|274968932083393837|22</stp>
        <stp>USB UN Equity</stp>
        <stp>REALTIME_5_DAY_CHANGE_PERCENT</stp>
        <tr r="G472" s="2"/>
      </tp>
      <tp>
        <v>-2.4613</v>
        <stp/>
        <stp>BDP|933071644599487286|22</stp>
        <stp>CAG UN Equity</stp>
        <stp>CHG_PCT_1M_RT</stp>
        <tr r="H79" s="2"/>
      </tp>
      <tp>
        <v>8.9540000000000006</v>
        <stp/>
        <stp>BDP|15208058493637603155|22</stp>
        <stp>ROST UW Equity</stp>
        <stp>CHG_PCT_1M_RT</stp>
        <tr r="H407" s="2"/>
      </tp>
      <tp>
        <v>0.69059997797012329</v>
        <stp/>
        <stp>BDP|7541991865334612765|22</stp>
        <stp>HPQ UN Equity</stp>
        <stp>RT_PX_CHG_PCT_1D</stp>
        <tr r="F234" s="2"/>
      </tp>
      <tp>
        <v>-2.4126999378204346</v>
        <stp/>
        <stp>BDP|7809870275316643325|22</stp>
        <stp>KMI UN Equity</stp>
        <stp>RT_PX_CHG_PCT_1D</stp>
        <tr r="F277" s="2"/>
      </tp>
      <tp>
        <v>1.0891000032424927</v>
        <stp/>
        <stp>BDP|5403950867253550475|22</stp>
        <stp>ADM UN Equity</stp>
        <stp>RT_PX_CHG_PCT_1D</stp>
        <tr r="F14" s="2"/>
      </tp>
      <tp>
        <v>-0.58869999647140503</v>
        <stp/>
        <stp>BDP|6800757322569457625|22</stp>
        <stp>LMT UN Equity</stp>
        <stp>RT_PX_CHG_PCT_1D</stp>
        <tr r="F290" s="2"/>
      </tp>
      <tp>
        <v>-9.4488000000000003</v>
        <stp/>
        <stp>BDP|15116016368131752928|22</stp>
        <stp>SNPS UW Equity</stp>
        <stp>CHG_PCT_1M_RT</stp>
        <tr r="H419" s="2"/>
      </tp>
      <tp>
        <v>-1.5262999534606934</v>
        <stp/>
        <stp>BDP|6484077200431600359|22</stp>
        <stp>LIN UW Equity</stp>
        <stp>RT_PX_CHG_PCT_1D</stp>
        <tr r="F287" s="2"/>
      </tp>
      <tp>
        <v>-2.3784000000000001</v>
        <stp/>
        <stp>BDP|12252259344053059214|22</stp>
        <stp>PHM UN Equity</stp>
        <stp>CHG_PCT_3M_RT</stp>
        <tr r="I377" s="2"/>
      </tp>
      <tp>
        <v>-2.6175000000000002</v>
        <stp/>
        <stp>BDP|15454782872321669752|22</stp>
        <stp>ALL UN Equity</stp>
        <stp>REALTIME_5_DAY_CHANGE_PERCENT</stp>
        <tr r="G27" s="2"/>
      </tp>
      <tp>
        <v>-5.7838000000000003</v>
        <stp/>
        <stp>BDP|16202806786118954594|22</stp>
        <stp>FDX UN Equity</stp>
        <stp>REALTIME_5_DAY_CHANGE_PERCENT</stp>
        <tr r="G189" s="2"/>
      </tp>
      <tp>
        <v>-4.3005000000000004</v>
        <stp/>
        <stp>BDP|15344151338894094278|22</stp>
        <stp>LEN UN Equity</stp>
        <stp>REALTIME_5_DAY_CHANGE_PERCENT</stp>
        <tr r="G284" s="2"/>
      </tp>
      <tp>
        <v>0.23089999999999999</v>
        <stp/>
        <stp>BDP|14581482399506700574|22</stp>
        <stp>DOC UN Equity</stp>
        <stp>REALTIME_5_DAY_CHANGE_PERCENT</stp>
        <tr r="G146" s="2"/>
      </tp>
      <tp>
        <v>-1.4824999999999999</v>
        <stp/>
        <stp>BDP|16817894950869329893|22</stp>
        <stp>GLW UN Equity</stp>
        <stp>REALTIME_5_DAY_CHANGE_PERCENT</stp>
        <tr r="G212" s="2"/>
      </tp>
      <tp>
        <v>-1.4922</v>
        <stp/>
        <stp>BDP|16904680273088393189|22</stp>
        <stp>PNW UN Equity</stp>
        <stp>CHG_PCT_1M_RT</stp>
        <tr r="H384" s="2"/>
      </tp>
      <tp>
        <v>1.5469999999999999</v>
        <stp/>
        <stp>BDP|15702094996737163552|22</stp>
        <stp>MOH UN Equity</stp>
        <stp>REALTIME_5_DAY_CHANGE_PERCENT</stp>
        <tr r="G321" s="2"/>
      </tp>
      <tp>
        <v>21.321400000000001</v>
        <stp/>
        <stp>BDP|16858578391796288358|22</stp>
        <stp>WMT UN Equity</stp>
        <stp>CHG_PCT_3M_RT</stp>
        <tr r="I495" s="2"/>
      </tp>
      <tp>
        <v>-0.18759999999999999</v>
        <stp/>
        <stp>BDP|12251300908919117671|22</stp>
        <stp>HLT UN Equity</stp>
        <stp>REALTIME_5_DAY_CHANGE_PERCENT</stp>
        <tr r="G230" s="2"/>
      </tp>
      <tp>
        <v>3.2357999999999998</v>
        <stp/>
        <stp>BDP|18401309224156228246|22</stp>
        <stp>HRL UN Equity</stp>
        <stp>REALTIME_5_DAY_CHANGE_PERCENT</stp>
        <tr r="G235" s="2"/>
      </tp>
      <tp>
        <v>-2.7366000000000001</v>
        <stp/>
        <stp>BDP|15375902706588830471|22</stp>
        <stp>LYV UN Equity</stp>
        <stp>REALTIME_5_DAY_CHANGE_PERCENT</stp>
        <tr r="G299" s="2"/>
      </tp>
      <tp>
        <v>67.657200000000003</v>
        <stp/>
        <stp>BDP|12023085767580815590|22</stp>
        <stp>TPL UN Equity</stp>
        <stp>CHG_PCT_3M_RT</stp>
        <tr r="I449" s="2"/>
      </tp>
      <tp>
        <v>-2.7067999999999999</v>
        <stp/>
        <stp>BDP|10199206742311721719|22</stp>
        <stp>SRE UN Equity</stp>
        <stp>CHG_PCT_1M_RT</stp>
        <tr r="H424" s="2"/>
      </tp>
      <tp>
        <v>-4.8849</v>
        <stp/>
        <stp>BDP|6801285370844051251|22</stp>
        <stp>SO UN Equity</stp>
        <stp>CHG_PCT_1M_RT</stp>
        <tr r="H420" s="2"/>
      </tp>
      <tp>
        <v>1.9565999999999999</v>
        <stp/>
        <stp>BDP|6941609796743465875|22</stp>
        <stp>PM UN Equity</stp>
        <stp>CHG_PCT_1M_RT</stp>
        <tr r="H381" s="2"/>
      </tp>
      <tp>
        <v>94.78</v>
        <stp/>
        <stp>BDP|7623302254545704189|22</stp>
        <stp>ED UN Equity</stp>
        <stp>LAST_PRICE</stp>
        <tr r="B159" s="2"/>
        <tr r="E159" s="2"/>
        <tr r="C159" s="2"/>
        <tr r="D159" s="2"/>
      </tp>
      <tp>
        <v>0.4294</v>
        <stp/>
        <stp>BDP|9213054709779139538|22</stp>
        <stp>RF UN Equity</stp>
        <stp>CHG_PCT_1M_RT</stp>
        <tr r="H400" s="2"/>
      </tp>
      <tp>
        <v>368.17</v>
        <stp/>
        <stp>BDP|7726498435461105866|22</stp>
        <stp>EG UN Equity</stp>
        <stp>LAST_PRICE</stp>
        <tr r="D161" s="2"/>
        <tr r="C161" s="2"/>
        <tr r="E161" s="2"/>
        <tr r="B161" s="2"/>
      </tp>
      <tp>
        <v>0.49279999732971191</v>
        <stp/>
        <stp>BDP|12097216832535909680|22</stp>
        <stp>GOOGL UW Equity</stp>
        <stp>RT_PX_CHG_PCT_1D</stp>
        <tr r="F216" s="2"/>
      </tp>
      <tp>
        <v>185.35</v>
        <stp/>
        <stp>BDP|1205912547253043650|22</stp>
        <stp>BX UN Equity</stp>
        <stp>LAST_PRICE</stp>
        <tr r="D76" s="2"/>
        <tr r="E76" s="2"/>
        <tr r="B76" s="2"/>
        <tr r="C76" s="2"/>
      </tp>
      <tp>
        <v>26.725000000000001</v>
        <stp/>
        <stp>BDP|18355635591536692415|22</stp>
        <stp>ADSK UW Equity</stp>
        <stp>CHG_PCT_YTD_RT</stp>
        <tr r="J16" s="2"/>
      </tp>
      <tp>
        <v>11.6347</v>
        <stp/>
        <stp>BDP|14390773589045567682|22</stp>
        <stp>ALLE UN Equity</stp>
        <stp>CHG_PCT_YTD_RT</stp>
        <tr r="J28" s="2"/>
      </tp>
      <tp>
        <v>0.98610001802444458</v>
        <stp/>
        <stp>BDP|17300387961855009413|22</stp>
        <stp>STLD UW Equity</stp>
        <stp>RT_PX_CHG_PCT_1D</stp>
        <tr r="F426" s="2"/>
      </tp>
      <tp>
        <v>-1.6672999858856201</v>
        <stp/>
        <stp>BDP|5276581729305934965|22</stp>
        <stp>USB UN Equity</stp>
        <stp>RT_PX_CHG_PCT_1D</stp>
        <tr r="F472" s="2"/>
      </tp>
      <tp>
        <v>-1.9274</v>
        <stp/>
        <stp>BDP|831351184114895013|22</stp>
        <stp>VTR UN Equity</stp>
        <stp>REALTIME_5_DAY_CHANGE_PERCENT</stp>
        <tr r="G482" s="2"/>
      </tp>
      <tp>
        <v>0.82150000000000001</v>
        <stp/>
        <stp>BDP|149181769354316999|22</stp>
        <stp>NEM UN Equity</stp>
        <stp>CHG_PCT_YTD_RT</stp>
        <tr r="J339" s="2"/>
      </tp>
      <tp>
        <v>-8.1027000000000005</v>
        <stp/>
        <stp>BDP|15615312938314330915|22</stp>
        <stp>KLAC UW Equity</stp>
        <stp>CHG_PCT_3M_RT</stp>
        <tr r="I275" s="2"/>
      </tp>
      <tp>
        <v>1.0647000074386597</v>
        <stp/>
        <stp>BDP|3706272139072608931|22</stp>
        <stp>PEP UW Equity</stp>
        <stp>RT_PX_CHG_PCT_1D</stp>
        <tr r="F371" s="2"/>
      </tp>
      <tp>
        <v>10.7645</v>
        <stp/>
        <stp>BDP|12600257710506127786|22</stp>
        <stp>ADBE UW Equity</stp>
        <stp>CHG_PCT_1M_RT</stp>
        <tr r="H12" s="2"/>
      </tp>
      <tp>
        <v>0.28389999270439148</v>
        <stp/>
        <stp>BDP|4922093648559669271|22</stp>
        <stp>MAS UN Equity</stp>
        <stp>RT_PX_CHG_PCT_1D</stp>
        <tr r="F303" s="2"/>
      </tp>
      <tp>
        <v>5.0521000000000003</v>
        <stp/>
        <stp>BDP|17734309844478759747|22</stp>
        <stp>MPWR UW Equity</stp>
        <stp>REALTIME_5_DAY_CHANGE_PERCENT</stp>
        <tr r="G324" s="2"/>
      </tp>
      <tp>
        <v>3.1300000846385956E-2</v>
        <stp/>
        <stp>BDP|7247315148112714032|22</stp>
        <stp>EOG UN Equity</stp>
        <stp>RT_PX_CHG_PCT_1D</stp>
        <tr r="F168" s="2"/>
      </tp>
      <tp>
        <v>14.1854</v>
        <stp/>
        <stp>BDP|15214047105388279720|22</stp>
        <stp>ENPH UQ Equity</stp>
        <stp>CHG_PCT_1M_RT</stp>
        <tr r="H167" s="2"/>
      </tp>
      <tp>
        <v>1.3515000343322754</v>
        <stp/>
        <stp>BDP|1074833861517403382|22</stp>
        <stp>MPC UN Equity</stp>
        <stp>RT_PX_CHG_PCT_1D</stp>
        <tr r="F323" s="2"/>
      </tp>
      <tp>
        <v>-2.2588999271392822</v>
        <stp/>
        <stp>BDP|4766281163448060596|22</stp>
        <stp>ALL UN Equity</stp>
        <stp>RT_PX_CHG_PCT_1D</stp>
        <tr r="F27" s="2"/>
      </tp>
      <tp>
        <v>-1.4351999759674072</v>
        <stp/>
        <stp>BDP|6999135405632908389|22</stp>
        <stp>JPM UN Equity</stp>
        <stp>RT_PX_CHG_PCT_1D</stp>
        <tr r="F267" s="2"/>
      </tp>
      <tp>
        <v>-0.73499999999999999</v>
        <stp/>
        <stp>BDP|10373918167043097082|22</stp>
        <stp>ISRG UW Equity</stp>
        <stp>REALTIME_5_DAY_CHANGE_PERCENT</stp>
        <tr r="G256" s="2"/>
      </tp>
      <tp>
        <v>-1.2170000076293945</v>
        <stp/>
        <stp>BDP|7094115004921112027|22</stp>
        <stp>MMM UN Equity</stp>
        <stp>RT_PX_CHG_PCT_1D</stp>
        <tr r="F318" s="2"/>
      </tp>
      <tp>
        <v>5.1821999549865723</v>
        <stp/>
        <stp>BDP|4613627785493057504|22</stp>
        <stp>CRL UN Equity</stp>
        <stp>RT_PX_CHG_PCT_1D</stp>
        <tr r="F117" s="2"/>
      </tp>
      <tp>
        <v>-1.3933000564575195</v>
        <stp/>
        <stp>BDP|2665614919128835383|22</stp>
        <stp>CSX UW Equity</stp>
        <stp>RT_PX_CHG_PCT_1D</stp>
        <tr r="F122" s="2"/>
      </tp>
      <tp>
        <v>-3.5596001148223877</v>
        <stp/>
        <stp>BDP|1065985581418665172|22</stp>
        <stp>OKE UN Equity</stp>
        <stp>RT_PX_CHG_PCT_1D</stp>
        <tr r="F357" s="2"/>
      </tp>
      <tp>
        <v>-0.96119999885559082</v>
        <stp/>
        <stp>BDP|2914606537419938913|22</stp>
        <stp>CAH UN Equity</stp>
        <stp>RT_PX_CHG_PCT_1D</stp>
        <tr r="F80" s="2"/>
      </tp>
      <tp>
        <v>1.2043000459671021</v>
        <stp/>
        <stp>BDP|6062677287704006025|22</stp>
        <stp>LYB UN Equity</stp>
        <stp>RT_PX_CHG_PCT_1D</stp>
        <tr r="F298" s="2"/>
      </tp>
      <tp>
        <v>-2.4238</v>
        <stp/>
        <stp>BDP|16993297228901201904|22</stp>
        <stp>EXC UW Equity</stp>
        <stp>REALTIME_5_DAY_CHANGE_PERCENT</stp>
        <tr r="G180" s="2"/>
      </tp>
      <tp>
        <v>-2.3086000000000002</v>
        <stp/>
        <stp>BDP|15149842539031749462|22</stp>
        <stp>CCL UN Equity</stp>
        <stp>REALTIME_5_DAY_CHANGE_PERCENT</stp>
        <tr r="G87" s="2"/>
      </tp>
      <tp>
        <v>-0.6784</v>
        <stp/>
        <stp>BDP|14865591290633766938|22</stp>
        <stp>GEV UN Equity</stp>
        <stp>REALTIME_5_DAY_CHANGE_PERCENT</stp>
        <tr r="G208" s="2"/>
      </tp>
      <tp>
        <v>38.237099999999998</v>
        <stp/>
        <stp>BDP|17045728986345474484|22</stp>
        <stp>RJF UN Equity</stp>
        <stp>CHG_PCT_3M_RT</stp>
        <tr r="I401" s="2"/>
      </tp>
      <tp>
        <v>-1.4549000000000001</v>
        <stp/>
        <stp>BDP|13335409030264061436|22</stp>
        <stp>GEN UW Equity</stp>
        <stp>REALTIME_5_DAY_CHANGE_PERCENT</stp>
        <tr r="G207" s="2"/>
      </tp>
      <tp>
        <v>2.9817</v>
        <stp/>
        <stp>BDP|673741854420944940|22</stp>
        <stp>IPSA Index</stp>
        <stp>CHG_PCT_1M_RT</stp>
        <tr r="H512" s="2"/>
      </tp>
      <tp>
        <v>-5.5835999999999997</v>
        <stp/>
        <stp>BDP|13632472458855702127|22</stp>
        <stp>DVN UN Equity</stp>
        <stp>REALTIME_5_DAY_CHANGE_PERCENT</stp>
        <tr r="G154" s="2"/>
      </tp>
      <tp>
        <v>0.33100000000000002</v>
        <stp/>
        <stp>BDP|18041128908128463064|22</stp>
        <stp>LKQ UW Equity</stp>
        <stp>REALTIME_5_DAY_CHANGE_PERCENT</stp>
        <tr r="G288" s="2"/>
      </tp>
      <tp>
        <v>2.4935</v>
        <stp/>
        <stp>BDP|9670867195801740196|22</stp>
        <stp>RL UN Equity</stp>
        <stp>CHG_PCT_1M_RT</stp>
        <tr r="H402" s="2"/>
      </tp>
      <tp>
        <v>-0.74850000000000005</v>
        <stp/>
        <stp>BDP|1916132469817256774|22</stp>
        <stp>DD UN Equity</stp>
        <stp>CHG_PCT_1M_RT</stp>
        <tr r="H134" s="2"/>
      </tp>
      <tp>
        <v>-6.4535</v>
        <stp/>
        <stp>BDP|10842382892209116587|22</stp>
        <stp>KOSPI Index</stp>
        <stp>CHG_PCT_3M_RT</stp>
        <tr r="I532" s="2"/>
      </tp>
      <tp>
        <v>-10.7547</v>
        <stp/>
        <stp>BDP|8408022034774185267|22</stp>
        <stp>CI UN Equity</stp>
        <stp>CHG_PCT_3M_RT</stp>
        <tr r="I97" s="2"/>
      </tp>
      <tp>
        <v>-5.0923999999999996</v>
        <stp/>
        <stp>BDP|9330071623694771729|22</stp>
        <stp>CB UN Equity</stp>
        <stp>CHG_PCT_3M_RT</stp>
        <tr r="I83" s="2"/>
      </tp>
      <tp>
        <v>-3.6032000000000002</v>
        <stp/>
        <stp>BDP|8434796399522639549|22</stp>
        <stp>BA UN Equity</stp>
        <stp>CHG_PCT_3M_RT</stp>
        <tr r="I55" s="2"/>
      </tp>
      <tp>
        <v>-0.12999999523162842</v>
        <stp/>
        <stp>BDP|10985954343161705916|22</stp>
        <stp>PODD UW Equity</stp>
        <stp>RT_PX_CHG_PCT_1D</stp>
        <tr r="F385" s="2"/>
      </tp>
      <tp>
        <v>-1.4615000486373901</v>
        <stp/>
        <stp>BDP|15922675942807119562|22</stp>
        <stp>WELL UN Equity</stp>
        <stp>RT_PX_CHG_PCT_1D</stp>
        <tr r="F491" s="2"/>
      </tp>
      <tp>
        <v>-0.1534000039100647</v>
        <stp/>
        <stp>BDP|16446007755149092112|22</stp>
        <stp>ROST UW Equity</stp>
        <stp>RT_PX_CHG_PCT_1D</stp>
        <tr r="F407" s="2"/>
      </tp>
      <tp>
        <v>55.814</v>
        <stp/>
        <stp>BDP|11466928333269849832|22</stp>
        <stp>FOXA UW Equity</stp>
        <stp>CHG_PCT_YTD_RT</stp>
        <tr r="J198" s="2"/>
      </tp>
      <tp>
        <v>-2.6427999999999998</v>
        <stp/>
        <stp>BDP|11615566195709250616|22</stp>
        <stp>NXPI UW Equity</stp>
        <stp>CHG_PCT_YTD_RT</stp>
        <tr r="J354" s="2"/>
      </tp>
      <tp>
        <v>-0.19380000233650208</v>
        <stp/>
        <stp>BDP|13603934810394903629|22</stp>
        <stp>TROW UW Equity</stp>
        <stp>RT_PX_CHG_PCT_1D</stp>
        <tr r="F453" s="2"/>
      </tp>
      <tp>
        <v>6.8833000000000002</v>
        <stp/>
        <stp>BDP|14859610987589710271|22</stp>
        <stp>FFIV UW Equity</stp>
        <stp>CHG_PCT_1M_RT</stp>
        <tr r="H191" s="2"/>
      </tp>
      <tp>
        <v>-2.5024999999999999</v>
        <stp/>
        <stp>BDP|14520059480646148191|22</stp>
        <stp>VLTO UN Equity</stp>
        <stp>CHG_PCT_3M_RT</stp>
        <tr r="I476" s="2"/>
      </tp>
      <tp>
        <v>41.339700000000001</v>
        <stp/>
        <stp>BDP|532001280623124668|22</stp>
        <stp>LYV UN Equity</stp>
        <stp>CHG_PCT_3M_RT</stp>
        <tr r="I299" s="2"/>
      </tp>
      <tp>
        <v>-1.5345</v>
        <stp/>
        <stp>BDP|14638244021164915897|22</stp>
        <stp>GOOG UW Equity</stp>
        <stp>CHG_PCT_1M_RT</stp>
        <tr r="H215" s="2"/>
      </tp>
      <tp>
        <v>29.005199999999999</v>
        <stp/>
        <stp>BDP|15728234816226759170|22</stp>
        <stp>FFIV UW Equity</stp>
        <stp>CHG_PCT_3M_RT</stp>
        <tr r="I191" s="2"/>
      </tp>
      <tp>
        <v>2.0600000396370888E-2</v>
        <stp/>
        <stp>BDP|2497503952544396816|22</stp>
        <stp>WEC UN Equity</stp>
        <stp>RT_PX_CHG_PCT_1D</stp>
        <tr r="F490" s="2"/>
      </tp>
      <tp>
        <v>-10.979699999999999</v>
        <stp/>
        <stp>BDP|703619220713718822|22</stp>
        <stp>BBY UN Equity</stp>
        <stp>CHG_PCT_3M_RT</stp>
        <tr r="I59" s="2"/>
      </tp>
      <tp>
        <v>-2.3914999961853027</v>
        <stp/>
        <stp>BDP|7511970406675347503|22</stp>
        <stp>AXP UN Equity</stp>
        <stp>RT_PX_CHG_PCT_1D</stp>
        <tr r="F53" s="2"/>
      </tp>
      <tp>
        <v>1.0062999725341797</v>
        <stp/>
        <stp>BDP|5900003163753630197|22</stp>
        <stp>CMI UN Equity</stp>
        <stp>RT_PX_CHG_PCT_1D</stp>
        <tr r="F104" s="2"/>
      </tp>
      <tp>
        <v>9.64E-2</v>
        <stp/>
        <stp>BDP|12365831013947389560|22</stp>
        <stp>ANSS UW Equity</stp>
        <stp>CHG_PCT_1M_RT</stp>
        <tr r="H39" s="2"/>
      </tp>
      <tp>
        <v>-2.7857000827789307</v>
        <stp/>
        <stp>BDP|9835835276070469830|22</stp>
        <stp>HIG UN Equity</stp>
        <stp>RT_PX_CHG_PCT_1D</stp>
        <tr r="F228" s="2"/>
      </tp>
      <tp>
        <v>2.9851000000000001</v>
        <stp/>
        <stp>BDP|10186256815206412053|22</stp>
        <stp>ZBRA UW Equity</stp>
        <stp>CHG_PCT_1M_RT</stp>
        <tr r="H506" s="2"/>
      </tp>
      <tp>
        <v>11.851000000000001</v>
        <stp/>
        <stp>BDP|10571232285014033054|22</stp>
        <stp>FITB UW Equity</stp>
        <stp>CHG_PCT_3M_RT</stp>
        <tr r="I195" s="2"/>
      </tp>
      <tp>
        <v>20.6829</v>
        <stp/>
        <stp>BDP|13853104208013553265|22</stp>
        <stp>ADSK UW Equity</stp>
        <stp>CHG_PCT_3M_RT</stp>
        <tr r="I16" s="2"/>
      </tp>
      <tp>
        <v>1.2756999731063843</v>
        <stp/>
        <stp>BDP|8918121577796611336|22</stp>
        <stp>GIS UN Equity</stp>
        <stp>RT_PX_CHG_PCT_1D</stp>
        <tr r="F210" s="2"/>
      </tp>
      <tp>
        <v>2.4077999999999999</v>
        <stp/>
        <stp>BDP|12828070193549752749|22</stp>
        <stp>CBOE UF Equity</stp>
        <stp>CHG_PCT_1M_RT</stp>
        <tr r="H84" s="2"/>
      </tp>
      <tp>
        <v>3.1870999336242676</v>
        <stp/>
        <stp>BDP|9695571266011386830|22</stp>
        <stp>MKC UN Equity</stp>
        <stp>RT_PX_CHG_PCT_1D</stp>
        <tr r="F314" s="2"/>
      </tp>
      <tp>
        <v>4.4779000282287598</v>
        <stp/>
        <stp>BDP|5169936427504311264|22</stp>
        <stp>ALB UN Equity</stp>
        <stp>RT_PX_CHG_PCT_1D</stp>
        <tr r="F25" s="2"/>
      </tp>
      <tp>
        <v>-10.2971</v>
        <stp/>
        <stp>BDP|12482133347203905205|22</stp>
        <stp>BALL UN Equity</stp>
        <stp>CHG_PCT_3M_RT</stp>
        <tr r="I57" s="2"/>
      </tp>
      <tp>
        <v>-20.572500000000002</v>
        <stp/>
        <stp>BDP|12912897955810895652|22</stp>
        <stp>INTC UW Equity</stp>
        <stp>CHG_PCT_1M_RT</stp>
        <tr r="H248" s="2"/>
      </tp>
      <tp>
        <v>-1.5844999551773071</v>
        <stp/>
        <stp>BDP|3945445212535974663|22</stp>
        <stp>NKE UN Equity</stp>
        <stp>RT_PX_CHG_PCT_1D</stp>
        <tr r="F342" s="2"/>
      </tp>
      <tp>
        <v>0.14730000495910645</v>
        <stp/>
        <stp>BDP|2481018999702622505|22</stp>
        <stp>CCI UN Equity</stp>
        <stp>RT_PX_CHG_PCT_1D</stp>
        <tr r="F86" s="2"/>
      </tp>
      <tp>
        <v>-2.4851999999999999</v>
        <stp/>
        <stp>BDP|16030618475596884930|22</stp>
        <stp>SOLV UN Equity</stp>
        <stp>CHG_PCT_1M_RT</stp>
        <tr r="H421" s="2"/>
      </tp>
      <tp>
        <v>-1.3747999668121338</v>
        <stp/>
        <stp>BDP|2155123009381174472|22</stp>
        <stp>AMP UN Equity</stp>
        <stp>RT_PX_CHG_PCT_1D</stp>
        <tr r="F34" s="2"/>
      </tp>
      <tp>
        <v>-3.5176999568939209</v>
        <stp/>
        <stp>BDP|6754422725381674643|22</stp>
        <stp>DAL UN Equity</stp>
        <stp>RT_PX_CHG_PCT_1D</stp>
        <tr r="F132" s="2"/>
      </tp>
      <tp>
        <v>1.3987000000000001</v>
        <stp/>
        <stp>BDP|14169811290100660972|22</stp>
        <stp>EPAM UN Equity</stp>
        <stp>REALTIME_5_DAY_CHANGE_PERCENT</stp>
        <tr r="G169" s="2"/>
      </tp>
      <tp>
        <v>-0.7137</v>
        <stp/>
        <stp>BDP|11053768501816848601|22</stp>
        <stp>KIM UN Equity</stp>
        <stp>REALTIME_5_DAY_CHANGE_PERCENT</stp>
        <tr r="G273" s="2"/>
      </tp>
      <tp>
        <v>25625.42</v>
        <stp/>
        <stp>BDP|14753571717595836354|22</stp>
        <stp>SPTSX Index</stp>
        <stp>LAST_PRICE</stp>
        <tr r="E509" s="2"/>
        <tr r="B509" s="2"/>
        <tr r="C509" s="2"/>
        <tr r="D509" s="2"/>
      </tp>
      <tp>
        <v>-5.2233000000000001</v>
        <stp/>
        <stp>BDP|14722962588797051245|22</stp>
        <stp>PGR UN Equity</stp>
        <stp>CHG_PCT_1M_RT</stp>
        <tr r="H375" s="2"/>
      </tp>
      <tp>
        <v>9.7669999999999995</v>
        <stp/>
        <stp>BDP|16107204999078634817|22</stp>
        <stp>ROK UN Equity</stp>
        <stp>CHG_PCT_1M_RT</stp>
        <tr r="H404" s="2"/>
      </tp>
      <tp>
        <v>-6.0240999999999998</v>
        <stp/>
        <stp>BDP|10517602715442093418|22</stp>
        <stp>CZR UW Equity</stp>
        <stp>REALTIME_5_DAY_CHANGE_PERCENT</stp>
        <tr r="G130" s="2"/>
      </tp>
      <tp>
        <v>-3.5988000000000002</v>
        <stp/>
        <stp>BDP|13133395737961187928|22</stp>
        <stp>AWK UN Equity</stp>
        <stp>REALTIME_5_DAY_CHANGE_PERCENT</stp>
        <tr r="G51" s="2"/>
      </tp>
      <tp>
        <v>-1.8329</v>
        <stp/>
        <stp>BDP|12514254825514568017|22</stp>
        <stp>AXP UN Equity</stp>
        <stp>REALTIME_5_DAY_CHANGE_PERCENT</stp>
        <tr r="G53" s="2"/>
      </tp>
      <tp>
        <v>4.8563000000000001</v>
        <stp/>
        <stp>BDP|3794681332935526738|22</stp>
        <stp>WY UN Equity</stp>
        <stp>CHG_PCT_3M_RT</stp>
        <tr r="I499" s="2"/>
      </tp>
      <tp>
        <v>83.54</v>
        <stp/>
        <stp>BDP|1977044483756664653|22</stp>
        <stp>DD UN Equity</stp>
        <stp>LAST_PRICE</stp>
        <tr r="B134" s="2"/>
        <tr r="C134" s="2"/>
        <tr r="D134" s="2"/>
        <tr r="E134" s="2"/>
      </tp>
      <tp>
        <v>-0.23829999566078186</v>
        <stp/>
        <stp>BDP|9490128881071231792|22</stp>
        <stp>NIFTY Index</stp>
        <stp>RT_PX_CHG_PCT_1D</stp>
        <tr r="F533" s="2"/>
      </tp>
      <tp>
        <v>-0.36969999999999997</v>
        <stp/>
        <stp>BDP|7371178259296720564|22</stp>
        <stp>MA UN Equity</stp>
        <stp>CHG_PCT_1M_RT</stp>
        <tr r="H300" s="2"/>
      </tp>
      <tp>
        <v>-1.6868000000000001</v>
        <stp/>
        <stp>BDP|6010302945974930391|22</stp>
        <stp>CMCSA UW Equity</stp>
        <stp>CHG_PCT_3M_RT</stp>
        <tr r="I101" s="2"/>
      </tp>
      <tp>
        <v>9.3431999999999995</v>
        <stp/>
        <stp>BDP|14391275376790904165|22</stp>
        <stp>MSCI UN Equity</stp>
        <stp>CHG_PCT_YTD_RT</stp>
        <tr r="J328" s="2"/>
      </tp>
      <tp>
        <v>27.992599999999999</v>
        <stp/>
        <stp>BDP|11401878912326824365|22</stp>
        <stp>CPAY UN Equity</stp>
        <stp>CHG_PCT_YTD_RT</stp>
        <tr r="J113" s="2"/>
      </tp>
      <tp>
        <v>3.2155</v>
        <stp/>
        <stp>BDP|3958855582327798343|22</stp>
        <stp>FTSEMIB Index</stp>
        <stp>REALTIME_5_DAY_CHANGE_PERCENT</stp>
        <tr r="G522" s="2"/>
      </tp>
      <tp>
        <v>-49.595199999999998</v>
        <stp/>
        <stp>BDP|12523318956498902380|22</stp>
        <stp>DLTR UW Equity</stp>
        <stp>CHG_PCT_YTD_RT</stp>
        <tr r="J145" s="2"/>
      </tp>
      <tp>
        <v>-1.3242000341415405</v>
        <stp/>
        <stp>BDP|9842464745510140530|22</stp>
        <stp>WAB UN Equity</stp>
        <stp>RT_PX_CHG_PCT_1D</stp>
        <tr r="F485" s="2"/>
      </tp>
      <tp>
        <v>1.4867000579833984</v>
        <stp/>
        <stp>BDP|2538919127886856576|22</stp>
        <stp>TMO UN Equity</stp>
        <stp>RT_PX_CHG_PCT_1D</stp>
        <tr r="F447" s="2"/>
      </tp>
      <tp>
        <v>-3.1552000045776367</v>
        <stp/>
        <stp>BDP|3208621135422818555|22</stp>
        <stp>PWR UN Equity</stp>
        <stp>RT_PX_CHG_PCT_1D</stp>
        <tr r="F393" s="2"/>
      </tp>
      <tp>
        <v>-14.648899999999999</v>
        <stp/>
        <stp>BDP|14033471628821044850|22</stp>
        <stp>AMGN UW Equity</stp>
        <stp>CHG_PCT_1M_RT</stp>
        <tr r="H33" s="2"/>
      </tp>
      <tp>
        <v>-1.9869000000000001</v>
        <stp/>
        <stp>BDP|14860009693063700082|22</stp>
        <stp>HSIC UW Equity</stp>
        <stp>REALTIME_5_DAY_CHANGE_PERCENT</stp>
        <tr r="G236" s="2"/>
      </tp>
      <tp>
        <v>21.049600000000002</v>
        <stp/>
        <stp>BDP|18395634716114300349|22</stp>
        <stp>LULU UW Equity</stp>
        <stp>REALTIME_5_DAY_CHANGE_PERCENT</stp>
        <tr r="G294" s="2"/>
      </tp>
      <tp>
        <v>-1.3300000429153442</v>
        <stp/>
        <stp>BDP|4738315377647054234|22</stp>
        <stp>PKG UN Equity</stp>
        <stp>RT_PX_CHG_PCT_1D</stp>
        <tr r="F378" s="2"/>
      </tp>
      <tp>
        <v>-0.9034000039100647</v>
        <stp/>
        <stp>BDP|8152026578075932191|22</stp>
        <stp>XEL UW Equity</stp>
        <stp>RT_PX_CHG_PCT_1D</stp>
        <tr r="F501" s="2"/>
      </tp>
      <tp>
        <v>-19.206700000000001</v>
        <stp/>
        <stp>BDP|14417576195982193872|22</stp>
        <stp>LDOS UN Equity</stp>
        <stp>CHG_PCT_1M_RT</stp>
        <tr r="H283" s="2"/>
      </tp>
      <tp>
        <v>-0.28169998526573181</v>
        <stp/>
        <stp>BDP|6942004961557918235|22</stp>
        <stp>AEP UW Equity</stp>
        <stp>RT_PX_CHG_PCT_1D</stp>
        <tr r="F18" s="2"/>
      </tp>
      <tp>
        <v>1.4106999635696411</v>
        <stp/>
        <stp>BDP|6745529920474989360|22</stp>
        <stp>CVS UN Equity</stp>
        <stp>RT_PX_CHG_PCT_1D</stp>
        <tr r="F128" s="2"/>
      </tp>
      <tp>
        <v>3966.57</v>
        <stp/>
        <stp>BDP|6933862981827794123|22</stp>
        <stp>SHSZ300 Index</stp>
        <stp>LAST_PRICE</stp>
        <tr r="B530" s="2"/>
        <tr r="C530" s="2"/>
        <tr r="D530" s="2"/>
        <tr r="E530" s="2"/>
      </tp>
      <tp>
        <v>-4.9779999999999998</v>
        <stp/>
        <stp>BDP|13868851349113461986|22</stp>
        <stp>NCLH UN Equity</stp>
        <stp>CHG_PCT_1M_RT</stp>
        <tr r="H335" s="2"/>
      </tp>
      <tp>
        <v>-0.81859999999999999</v>
        <stp/>
        <stp>BDP|16781600016428285355|22</stp>
        <stp>BLDR UN Equity</stp>
        <stp>CHG_PCT_1M_RT</stp>
        <tr r="H68" s="2"/>
      </tp>
      <tp>
        <v>3.9154000282287598</v>
        <stp/>
        <stp>BDP|1278491021274019764|22</stp>
        <stp>MOH UN Equity</stp>
        <stp>RT_PX_CHG_PCT_1D</stp>
        <tr r="F321" s="2"/>
      </tp>
      <tp>
        <v>1.9754</v>
        <stp/>
        <stp>BDP|697107166870107227|22</stp>
        <stp>DHR UN Equity</stp>
        <stp>CHG_PCT_YTD_RT</stp>
        <tr r="J142" s="2"/>
      </tp>
      <tp>
        <v>0.97850000000000004</v>
        <stp/>
        <stp>BDP|13852157563005023345|22</stp>
        <stp>ADSK UW Equity</stp>
        <stp>CHG_PCT_1M_RT</stp>
        <tr r="H16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7"/>
  <sheetViews>
    <sheetView tabSelected="1" workbookViewId="0">
      <selection activeCell="E9" sqref="E9"/>
    </sheetView>
  </sheetViews>
  <sheetFormatPr defaultRowHeight="15" x14ac:dyDescent="0.25"/>
  <cols>
    <col min="1" max="1" width="48.140625" customWidth="1"/>
    <col min="2" max="2" width="15.5703125" customWidth="1"/>
    <col min="3" max="3" width="23.42578125" customWidth="1"/>
    <col min="4" max="4" width="23.7109375" customWidth="1"/>
    <col min="5" max="5" width="15" customWidth="1"/>
    <col min="6" max="6" width="12.5703125" customWidth="1"/>
    <col min="7" max="7" width="12.7109375" customWidth="1"/>
    <col min="8" max="8" width="12" customWidth="1"/>
    <col min="9" max="9" width="11.5703125" customWidth="1"/>
    <col min="10" max="10" width="12.42578125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1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x14ac:dyDescent="0.25">
      <c r="A2" s="2" t="s">
        <v>9</v>
      </c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t="s">
        <v>10</v>
      </c>
      <c r="B3">
        <f>_xll.BDP("INDU Index","LAST_PRICE")</f>
        <v>44401.93</v>
      </c>
      <c r="C3">
        <f>_xll.BDP("INDU Index","LAST_PRICE")</f>
        <v>44401.93</v>
      </c>
      <c r="D3">
        <f>_xll.BDP("INDU Index","LAST_PRICE")</f>
        <v>44401.93</v>
      </c>
      <c r="E3">
        <f>_xll.BDP("INDU Index","LAST_PRICE")</f>
        <v>44401.93</v>
      </c>
      <c r="F3">
        <f>_xll.BDP("INDU Index","RT_PX_CHG_PCT_1D")</f>
        <v>-0.53890001773834229</v>
      </c>
      <c r="G3">
        <f>_xll.BDP("INDU Index","REALTIME_5_DAY_CHANGE_PERCENT")</f>
        <v>-0.84870000000000001</v>
      </c>
      <c r="H3">
        <f>_xll.BDP("INDU Index","CHG_PCT_1M_RT")</f>
        <v>0.93869999999999998</v>
      </c>
      <c r="I3">
        <f>_xll.BDP("INDU Index","CHG_PCT_3M_RT")</f>
        <v>8.7493999999999996</v>
      </c>
      <c r="J3">
        <f>_xll.BDP("INDU Index","CHG_PCT_YTD_RT")</f>
        <v>17.809699999999999</v>
      </c>
    </row>
    <row r="4" spans="1:10" x14ac:dyDescent="0.25">
      <c r="A4" s="4" t="s">
        <v>11</v>
      </c>
      <c r="B4" s="4">
        <f>_xll.BDP("SPX Index","LAST_PRICE")</f>
        <v>6052.85</v>
      </c>
      <c r="C4" s="4">
        <f>_xll.BDP("SPX Index","LAST_PRICE")</f>
        <v>6052.85</v>
      </c>
      <c r="D4" s="4">
        <f>_xll.BDP("SPX Index","LAST_PRICE")</f>
        <v>6052.85</v>
      </c>
      <c r="E4" s="4">
        <f>_xll.BDP("SPX Index","LAST_PRICE")</f>
        <v>6052.85</v>
      </c>
      <c r="F4" s="4">
        <f>_xll.BDP("SPX Index","RT_PX_CHG_PCT_1D")</f>
        <v>-0.61440002918243408</v>
      </c>
      <c r="G4" s="4">
        <f>_xll.BDP("SPX Index","REALTIME_5_DAY_CHANGE_PERCENT")</f>
        <v>9.4299999999999995E-2</v>
      </c>
      <c r="H4" s="4">
        <f>_xll.BDP("SPX Index","CHG_PCT_1M_RT")</f>
        <v>0.95589999999999997</v>
      </c>
      <c r="I4" s="4">
        <f>_xll.BDP("SPX Index","CHG_PCT_3M_RT")</f>
        <v>10.6342</v>
      </c>
      <c r="J4" s="4">
        <f>_xll.BDP("SPX Index","CHG_PCT_YTD_RT")</f>
        <v>26.898700000000002</v>
      </c>
    </row>
    <row r="5" spans="1:10" x14ac:dyDescent="0.25">
      <c r="A5" t="s">
        <v>12</v>
      </c>
      <c r="B5">
        <f>_xll.BDP("A UN Equity","LAST_PRICE")</f>
        <v>144</v>
      </c>
      <c r="C5">
        <f>_xll.BDP("A UN Equity","LAST_PRICE")</f>
        <v>144</v>
      </c>
      <c r="D5">
        <f>_xll.BDP("A UN Equity","LAST_PRICE")</f>
        <v>144</v>
      </c>
      <c r="E5">
        <f>_xll.BDP("A UN Equity","LAST_PRICE")</f>
        <v>144</v>
      </c>
      <c r="F5">
        <f>_xll.BDP("A UN Equity","RT_PX_CHG_PCT_1D")</f>
        <v>2.4328000545501709</v>
      </c>
      <c r="G5">
        <f>_xll.BDP("A UN Equity","REALTIME_5_DAY_CHANGE_PERCENT")</f>
        <v>3.1665999999999999</v>
      </c>
      <c r="H5">
        <f>_xll.BDP("A UN Equity","CHG_PCT_1M_RT")</f>
        <v>5.3555999999999999</v>
      </c>
      <c r="I5">
        <f>_xll.BDP("A UN Equity","CHG_PCT_3M_RT")</f>
        <v>4.2797999999999998</v>
      </c>
      <c r="J5">
        <f>_xll.BDP("A UN Equity","CHG_PCT_YTD_RT")</f>
        <v>3.5748000000000002</v>
      </c>
    </row>
    <row r="6" spans="1:10" x14ac:dyDescent="0.25">
      <c r="A6" t="s">
        <v>13</v>
      </c>
      <c r="B6">
        <f>_xll.BDP("AAPL UW Equity","LAST_PRICE")</f>
        <v>246.75</v>
      </c>
      <c r="C6">
        <f>_xll.BDP("AAPL UW Equity","LAST_PRICE")</f>
        <v>246.75</v>
      </c>
      <c r="D6">
        <f>_xll.BDP("AAPL UW Equity","LAST_PRICE")</f>
        <v>246.75</v>
      </c>
      <c r="E6">
        <f>_xll.BDP("AAPL UW Equity","LAST_PRICE")</f>
        <v>246.75</v>
      </c>
      <c r="F6">
        <f>_xll.BDP("AAPL UW Equity","RT_PX_CHG_PCT_1D")</f>
        <v>1.6101000308990479</v>
      </c>
      <c r="G6">
        <f>_xll.BDP("AAPL UW Equity","REALTIME_5_DAY_CHANGE_PERCENT")</f>
        <v>2.9883999999999999</v>
      </c>
      <c r="H6">
        <f>_xll.BDP("AAPL UW Equity","CHG_PCT_1M_RT")</f>
        <v>8.7195999999999998</v>
      </c>
      <c r="I6">
        <f>_xll.BDP("AAPL UW Equity","CHG_PCT_3M_RT")</f>
        <v>11.697100000000001</v>
      </c>
      <c r="J6">
        <f>_xll.BDP("AAPL UW Equity","CHG_PCT_YTD_RT")</f>
        <v>28.161799999999999</v>
      </c>
    </row>
    <row r="7" spans="1:10" x14ac:dyDescent="0.25">
      <c r="A7" t="s">
        <v>14</v>
      </c>
      <c r="B7">
        <f>_xll.BDP("ABBV UN Equity","LAST_PRICE")</f>
        <v>176.57</v>
      </c>
      <c r="C7">
        <f>_xll.BDP("ABBV UN Equity","LAST_PRICE")</f>
        <v>176.57</v>
      </c>
      <c r="D7">
        <f>_xll.BDP("ABBV UN Equity","LAST_PRICE")</f>
        <v>176.57</v>
      </c>
      <c r="E7">
        <f>_xll.BDP("ABBV UN Equity","LAST_PRICE")</f>
        <v>176.57</v>
      </c>
      <c r="F7">
        <f>_xll.BDP("ABBV UN Equity","RT_PX_CHG_PCT_1D")</f>
        <v>0.21570000052452087</v>
      </c>
      <c r="G7">
        <f>_xll.BDP("ABBV UN Equity","REALTIME_5_DAY_CHANGE_PERCENT")</f>
        <v>-2.8607999999999998</v>
      </c>
      <c r="H7">
        <f>_xll.BDP("ABBV UN Equity","CHG_PCT_1M_RT")</f>
        <v>-11.4937</v>
      </c>
      <c r="I7">
        <f>_xll.BDP("ABBV UN Equity","CHG_PCT_3M_RT")</f>
        <v>-10.1059</v>
      </c>
      <c r="J7">
        <f>_xll.BDP("ABBV UN Equity","CHG_PCT_YTD_RT")</f>
        <v>13.9382</v>
      </c>
    </row>
    <row r="8" spans="1:10" x14ac:dyDescent="0.25">
      <c r="A8" t="s">
        <v>15</v>
      </c>
      <c r="B8">
        <f>_xll.BDP("ABNB UW Equity","LAST_PRICE")</f>
        <v>137.27000000000001</v>
      </c>
      <c r="C8">
        <f>_xll.BDP("ABNB UW Equity","LAST_PRICE")</f>
        <v>137.27000000000001</v>
      </c>
      <c r="D8">
        <f>_xll.BDP("ABNB UW Equity","LAST_PRICE")</f>
        <v>137.27000000000001</v>
      </c>
      <c r="E8">
        <f>_xll.BDP("ABNB UW Equity","LAST_PRICE")</f>
        <v>137.27000000000001</v>
      </c>
      <c r="F8">
        <f>_xll.BDP("ABNB UW Equity","RT_PX_CHG_PCT_1D")</f>
        <v>0.25560000538825989</v>
      </c>
      <c r="G8">
        <f>_xll.BDP("ABNB UW Equity","REALTIME_5_DAY_CHANGE_PERCENT")</f>
        <v>-0.16</v>
      </c>
      <c r="H8">
        <f>_xll.BDP("ABNB UW Equity","CHG_PCT_1M_RT")</f>
        <v>1.9761</v>
      </c>
      <c r="I8">
        <f>_xll.BDP("ABNB UW Equity","CHG_PCT_3M_RT")</f>
        <v>17.970099999999999</v>
      </c>
      <c r="J8">
        <f>_xll.BDP("ABNB UW Equity","CHG_PCT_YTD_RT")</f>
        <v>0.83</v>
      </c>
    </row>
    <row r="9" spans="1:10" x14ac:dyDescent="0.25">
      <c r="A9" t="s">
        <v>16</v>
      </c>
      <c r="B9">
        <f>_xll.BDP("ABT UN Equity","LAST_PRICE")</f>
        <v>114.9</v>
      </c>
      <c r="C9">
        <f>_xll.BDP("ABT UN Equity","LAST_PRICE")</f>
        <v>114.9</v>
      </c>
      <c r="D9">
        <f>_xll.BDP("ABT UN Equity","LAST_PRICE")</f>
        <v>114.9</v>
      </c>
      <c r="E9">
        <f>_xll.BDP("ABT UN Equity","LAST_PRICE")</f>
        <v>114.9</v>
      </c>
      <c r="F9">
        <f>_xll.BDP("ABT UN Equity","RT_PX_CHG_PCT_1D")</f>
        <v>-0.6054999828338623</v>
      </c>
      <c r="G9">
        <f>_xll.BDP("ABT UN Equity","REALTIME_5_DAY_CHANGE_PERCENT")</f>
        <v>-1.6351</v>
      </c>
      <c r="H9">
        <f>_xll.BDP("ABT UN Equity","CHG_PCT_1M_RT")</f>
        <v>-1.4495</v>
      </c>
      <c r="I9">
        <f>_xll.BDP("ABT UN Equity","CHG_PCT_3M_RT")</f>
        <v>-1.3141</v>
      </c>
      <c r="J9">
        <f>_xll.BDP("ABT UN Equity","CHG_PCT_YTD_RT")</f>
        <v>4.3880999999999997</v>
      </c>
    </row>
    <row r="10" spans="1:10" x14ac:dyDescent="0.25">
      <c r="A10" t="s">
        <v>17</v>
      </c>
      <c r="B10">
        <f>_xll.BDP("ACGL UW Equity","LAST_PRICE")</f>
        <v>95.9</v>
      </c>
      <c r="C10">
        <f>_xll.BDP("ACGL UW Equity","LAST_PRICE")</f>
        <v>95.9</v>
      </c>
      <c r="D10">
        <f>_xll.BDP("ACGL UW Equity","LAST_PRICE")</f>
        <v>95.9</v>
      </c>
      <c r="E10">
        <f>_xll.BDP("ACGL UW Equity","LAST_PRICE")</f>
        <v>95.9</v>
      </c>
      <c r="F10">
        <f>_xll.BDP("ACGL UW Equity","RT_PX_CHG_PCT_1D")</f>
        <v>-1.9728000164031982</v>
      </c>
      <c r="G10">
        <f>_xll.BDP("ACGL UW Equity","REALTIME_5_DAY_CHANGE_PERCENT")</f>
        <v>-3.4239999999999999</v>
      </c>
      <c r="H10">
        <f>_xll.BDP("ACGL UW Equity","CHG_PCT_1M_RT")</f>
        <v>-0.98</v>
      </c>
      <c r="I10">
        <f>_xll.BDP("ACGL UW Equity","CHG_PCT_3M_RT")</f>
        <v>-9.7360000000000007</v>
      </c>
      <c r="J10">
        <f>_xll.BDP("ACGL UW Equity","CHG_PCT_YTD_RT")</f>
        <v>35.790900000000001</v>
      </c>
    </row>
    <row r="11" spans="1:10" x14ac:dyDescent="0.25">
      <c r="A11" t="s">
        <v>18</v>
      </c>
      <c r="B11">
        <f>_xll.BDP("ACN UN Equity","LAST_PRICE")</f>
        <v>359.5</v>
      </c>
      <c r="C11">
        <f>_xll.BDP("ACN UN Equity","LAST_PRICE")</f>
        <v>359.5</v>
      </c>
      <c r="D11">
        <f>_xll.BDP("ACN UN Equity","LAST_PRICE")</f>
        <v>359.5</v>
      </c>
      <c r="E11">
        <f>_xll.BDP("ACN UN Equity","LAST_PRICE")</f>
        <v>359.5</v>
      </c>
      <c r="F11">
        <f>_xll.BDP("ACN UN Equity","RT_PX_CHG_PCT_1D")</f>
        <v>-0.88230001926422119</v>
      </c>
      <c r="G11">
        <f>_xll.BDP("ACN UN Equity","REALTIME_5_DAY_CHANGE_PERCENT")</f>
        <v>-0.5202</v>
      </c>
      <c r="H11">
        <f>_xll.BDP("ACN UN Equity","CHG_PCT_1M_RT")</f>
        <v>1.1166</v>
      </c>
      <c r="I11">
        <f>_xll.BDP("ACN UN Equity","CHG_PCT_3M_RT")</f>
        <v>5.1753999999999998</v>
      </c>
      <c r="J11">
        <f>_xll.BDP("ACN UN Equity","CHG_PCT_YTD_RT")</f>
        <v>2.4479000000000002</v>
      </c>
    </row>
    <row r="12" spans="1:10" x14ac:dyDescent="0.25">
      <c r="A12" t="s">
        <v>19</v>
      </c>
      <c r="B12">
        <f>_xll.BDP("ADBE UW Equity","LAST_PRICE")</f>
        <v>547.92999999999995</v>
      </c>
      <c r="C12">
        <f>_xll.BDP("ADBE UW Equity","LAST_PRICE")</f>
        <v>547.92999999999995</v>
      </c>
      <c r="D12">
        <f>_xll.BDP("ADBE UW Equity","LAST_PRICE")</f>
        <v>547.92999999999995</v>
      </c>
      <c r="E12">
        <f>_xll.BDP("ADBE UW Equity","LAST_PRICE")</f>
        <v>547.92999999999995</v>
      </c>
      <c r="F12">
        <f>_xll.BDP("ADBE UW Equity","RT_PX_CHG_PCT_1D")</f>
        <v>-0.90960001945495605</v>
      </c>
      <c r="G12">
        <f>_xll.BDP("ADBE UW Equity","REALTIME_5_DAY_CHANGE_PERCENT")</f>
        <v>6.1467999999999998</v>
      </c>
      <c r="H12">
        <f>_xll.BDP("ADBE UW Equity","CHG_PCT_1M_RT")</f>
        <v>10.7645</v>
      </c>
      <c r="I12">
        <f>_xll.BDP("ADBE UW Equity","CHG_PCT_3M_RT")</f>
        <v>-3.8517000000000001</v>
      </c>
      <c r="J12">
        <f>_xll.BDP("ADBE UW Equity","CHG_PCT_YTD_RT")</f>
        <v>-8.1578999999999997</v>
      </c>
    </row>
    <row r="13" spans="1:10" x14ac:dyDescent="0.25">
      <c r="A13" t="s">
        <v>20</v>
      </c>
      <c r="B13">
        <f>_xll.BDP("ADI UW Equity","LAST_PRICE")</f>
        <v>219.04</v>
      </c>
      <c r="C13">
        <f>_xll.BDP("ADI UW Equity","LAST_PRICE")</f>
        <v>219.04</v>
      </c>
      <c r="D13">
        <f>_xll.BDP("ADI UW Equity","LAST_PRICE")</f>
        <v>219.04</v>
      </c>
      <c r="E13">
        <f>_xll.BDP("ADI UW Equity","LAST_PRICE")</f>
        <v>219.04</v>
      </c>
      <c r="F13">
        <f>_xll.BDP("ADI UW Equity","RT_PX_CHG_PCT_1D")</f>
        <v>0.81000000238418579</v>
      </c>
      <c r="G13">
        <f>_xll.BDP("ADI UW Equity","REALTIME_5_DAY_CHANGE_PERCENT")</f>
        <v>-1.8286</v>
      </c>
      <c r="H13">
        <f>_xll.BDP("ADI UW Equity","CHG_PCT_1M_RT")</f>
        <v>-2.9937999999999998</v>
      </c>
      <c r="I13">
        <f>_xll.BDP("ADI UW Equity","CHG_PCT_3M_RT")</f>
        <v>0.21959999999999999</v>
      </c>
      <c r="J13">
        <f>_xll.BDP("ADI UW Equity","CHG_PCT_YTD_RT")</f>
        <v>10.314299999999999</v>
      </c>
    </row>
    <row r="14" spans="1:10" x14ac:dyDescent="0.25">
      <c r="A14" t="s">
        <v>21</v>
      </c>
      <c r="B14">
        <f>_xll.BDP("ADM UN Equity","LAST_PRICE")</f>
        <v>51.98</v>
      </c>
      <c r="C14">
        <f>_xll.BDP("ADM UN Equity","LAST_PRICE")</f>
        <v>51.98</v>
      </c>
      <c r="D14">
        <f>_xll.BDP("ADM UN Equity","LAST_PRICE")</f>
        <v>51.98</v>
      </c>
      <c r="E14">
        <f>_xll.BDP("ADM UN Equity","LAST_PRICE")</f>
        <v>51.98</v>
      </c>
      <c r="F14">
        <f>_xll.BDP("ADM UN Equity","RT_PX_CHG_PCT_1D")</f>
        <v>1.0891000032424927</v>
      </c>
      <c r="G14">
        <f>_xll.BDP("ADM UN Equity","REALTIME_5_DAY_CHANGE_PERCENT")</f>
        <v>-4.2195999999999998</v>
      </c>
      <c r="H14">
        <f>_xll.BDP("ADM UN Equity","CHG_PCT_1M_RT")</f>
        <v>-0.28770000000000001</v>
      </c>
      <c r="I14">
        <f>_xll.BDP("ADM UN Equity","CHG_PCT_3M_RT")</f>
        <v>-12.6387</v>
      </c>
      <c r="J14">
        <f>_xll.BDP("ADM UN Equity","CHG_PCT_YTD_RT")</f>
        <v>-28.025500000000001</v>
      </c>
    </row>
    <row r="15" spans="1:10" x14ac:dyDescent="0.25">
      <c r="A15" t="s">
        <v>22</v>
      </c>
      <c r="B15">
        <f>_xll.BDP("ADP UW Equity","LAST_PRICE")</f>
        <v>297.56</v>
      </c>
      <c r="C15">
        <f>_xll.BDP("ADP UW Equity","LAST_PRICE")</f>
        <v>297.56</v>
      </c>
      <c r="D15">
        <f>_xll.BDP("ADP UW Equity","LAST_PRICE")</f>
        <v>297.56</v>
      </c>
      <c r="E15">
        <f>_xll.BDP("ADP UW Equity","LAST_PRICE")</f>
        <v>297.56</v>
      </c>
      <c r="F15">
        <f>_xll.BDP("ADP UW Equity","RT_PX_CHG_PCT_1D")</f>
        <v>-2.2983999252319336</v>
      </c>
      <c r="G15">
        <f>_xll.BDP("ADP UW Equity","REALTIME_5_DAY_CHANGE_PERCENT")</f>
        <v>-2.7677</v>
      </c>
      <c r="H15">
        <f>_xll.BDP("ADP UW Equity","CHG_PCT_1M_RT")</f>
        <v>-2.3529</v>
      </c>
      <c r="I15">
        <f>_xll.BDP("ADP UW Equity","CHG_PCT_3M_RT")</f>
        <v>7.9720000000000004</v>
      </c>
      <c r="J15">
        <f>_xll.BDP("ADP UW Equity","CHG_PCT_YTD_RT")</f>
        <v>27.724599999999999</v>
      </c>
    </row>
    <row r="16" spans="1:10" x14ac:dyDescent="0.25">
      <c r="A16" t="s">
        <v>23</v>
      </c>
      <c r="B16">
        <f>_xll.BDP("ADSK UW Equity","LAST_PRICE")</f>
        <v>308.55</v>
      </c>
      <c r="C16">
        <f>_xll.BDP("ADSK UW Equity","LAST_PRICE")</f>
        <v>308.55</v>
      </c>
      <c r="D16">
        <f>_xll.BDP("ADSK UW Equity","LAST_PRICE")</f>
        <v>308.55</v>
      </c>
      <c r="E16">
        <f>_xll.BDP("ADSK UW Equity","LAST_PRICE")</f>
        <v>308.55</v>
      </c>
      <c r="F16">
        <f>_xll.BDP("ADSK UW Equity","RT_PX_CHG_PCT_1D")</f>
        <v>0.27300000190734863</v>
      </c>
      <c r="G16">
        <f>_xll.BDP("ADSK UW Equity","REALTIME_5_DAY_CHANGE_PERCENT")</f>
        <v>4.0114999999999998</v>
      </c>
      <c r="H16">
        <f>_xll.BDP("ADSK UW Equity","CHG_PCT_1M_RT")</f>
        <v>0.97850000000000004</v>
      </c>
      <c r="I16">
        <f>_xll.BDP("ADSK UW Equity","CHG_PCT_3M_RT")</f>
        <v>20.6829</v>
      </c>
      <c r="J16">
        <f>_xll.BDP("ADSK UW Equity","CHG_PCT_YTD_RT")</f>
        <v>26.725000000000001</v>
      </c>
    </row>
    <row r="17" spans="1:10" x14ac:dyDescent="0.25">
      <c r="A17" t="s">
        <v>24</v>
      </c>
      <c r="B17">
        <f>_xll.BDP("AEE UN Equity","LAST_PRICE")</f>
        <v>91.17</v>
      </c>
      <c r="C17">
        <f>_xll.BDP("AEE UN Equity","LAST_PRICE")</f>
        <v>91.17</v>
      </c>
      <c r="D17">
        <f>_xll.BDP("AEE UN Equity","LAST_PRICE")</f>
        <v>91.17</v>
      </c>
      <c r="E17">
        <f>_xll.BDP("AEE UN Equity","LAST_PRICE")</f>
        <v>91.17</v>
      </c>
      <c r="F17">
        <f>_xll.BDP("AEE UN Equity","RT_PX_CHG_PCT_1D")</f>
        <v>-0.67549997568130493</v>
      </c>
      <c r="G17">
        <f>_xll.BDP("AEE UN Equity","REALTIME_5_DAY_CHANGE_PERCENT")</f>
        <v>-1.8411</v>
      </c>
      <c r="H17">
        <f>_xll.BDP("AEE UN Equity","CHG_PCT_1M_RT")</f>
        <v>1.0866</v>
      </c>
      <c r="I17">
        <f>_xll.BDP("AEE UN Equity","CHG_PCT_3M_RT")</f>
        <v>7.7786999999999997</v>
      </c>
      <c r="J17">
        <f>_xll.BDP("AEE UN Equity","CHG_PCT_YTD_RT")</f>
        <v>26.029900000000001</v>
      </c>
    </row>
    <row r="18" spans="1:10" x14ac:dyDescent="0.25">
      <c r="A18" t="s">
        <v>25</v>
      </c>
      <c r="B18">
        <f>_xll.BDP("AEP UW Equity","LAST_PRICE")</f>
        <v>95.58</v>
      </c>
      <c r="C18">
        <f>_xll.BDP("AEP UW Equity","LAST_PRICE")</f>
        <v>95.58</v>
      </c>
      <c r="D18">
        <f>_xll.BDP("AEP UW Equity","LAST_PRICE")</f>
        <v>95.58</v>
      </c>
      <c r="E18">
        <f>_xll.BDP("AEP UW Equity","LAST_PRICE")</f>
        <v>95.58</v>
      </c>
      <c r="F18">
        <f>_xll.BDP("AEP UW Equity","RT_PX_CHG_PCT_1D")</f>
        <v>-0.28169998526573181</v>
      </c>
      <c r="G18">
        <f>_xll.BDP("AEP UW Equity","REALTIME_5_DAY_CHANGE_PERCENT")</f>
        <v>-2.6878000000000002</v>
      </c>
      <c r="H18">
        <f>_xll.BDP("AEP UW Equity","CHG_PCT_1M_RT")</f>
        <v>-0.85060000000000002</v>
      </c>
      <c r="I18">
        <f>_xll.BDP("AEP UW Equity","CHG_PCT_3M_RT")</f>
        <v>-7.7946999999999997</v>
      </c>
      <c r="J18">
        <f>_xll.BDP("AEP UW Equity","CHG_PCT_YTD_RT")</f>
        <v>17.680399999999999</v>
      </c>
    </row>
    <row r="19" spans="1:10" x14ac:dyDescent="0.25">
      <c r="A19" t="s">
        <v>26</v>
      </c>
      <c r="B19">
        <f>_xll.BDP("AES UN Equity","LAST_PRICE")</f>
        <v>13.6</v>
      </c>
      <c r="C19">
        <f>_xll.BDP("AES UN Equity","LAST_PRICE")</f>
        <v>13.6</v>
      </c>
      <c r="D19">
        <f>_xll.BDP("AES UN Equity","LAST_PRICE")</f>
        <v>13.6</v>
      </c>
      <c r="E19">
        <f>_xll.BDP("AES UN Equity","LAST_PRICE")</f>
        <v>13.6</v>
      </c>
      <c r="F19">
        <f>_xll.BDP("AES UN Equity","RT_PX_CHG_PCT_1D")</f>
        <v>4.2146000862121582</v>
      </c>
      <c r="G19">
        <f>_xll.BDP("AES UN Equity","REALTIME_5_DAY_CHANGE_PERCENT")</f>
        <v>4.5350000000000001</v>
      </c>
      <c r="H19">
        <f>_xll.BDP("AES UN Equity","CHG_PCT_1M_RT")</f>
        <v>0</v>
      </c>
      <c r="I19">
        <f>_xll.BDP("AES UN Equity","CHG_PCT_3M_RT")</f>
        <v>-16.049399999999999</v>
      </c>
      <c r="J19">
        <f>_xll.BDP("AES UN Equity","CHG_PCT_YTD_RT")</f>
        <v>-29.3506</v>
      </c>
    </row>
    <row r="20" spans="1:10" x14ac:dyDescent="0.25">
      <c r="A20" t="s">
        <v>27</v>
      </c>
      <c r="B20">
        <f>_xll.BDP("AFL UN Equity","LAST_PRICE")</f>
        <v>105</v>
      </c>
      <c r="C20">
        <f>_xll.BDP("AFL UN Equity","LAST_PRICE")</f>
        <v>105</v>
      </c>
      <c r="D20">
        <f>_xll.BDP("AFL UN Equity","LAST_PRICE")</f>
        <v>105</v>
      </c>
      <c r="E20">
        <f>_xll.BDP("AFL UN Equity","LAST_PRICE")</f>
        <v>105</v>
      </c>
      <c r="F20">
        <f>_xll.BDP("AFL UN Equity","RT_PX_CHG_PCT_1D")</f>
        <v>-2.1526000499725342</v>
      </c>
      <c r="G20">
        <f>_xll.BDP("AFL UN Equity","REALTIME_5_DAY_CHANGE_PERCENT")</f>
        <v>-5.7450999999999999</v>
      </c>
      <c r="H20">
        <f>_xll.BDP("AFL UN Equity","CHG_PCT_1M_RT")</f>
        <v>-3.0202</v>
      </c>
      <c r="I20">
        <f>_xll.BDP("AFL UN Equity","CHG_PCT_3M_RT")</f>
        <v>-4.0218999999999996</v>
      </c>
      <c r="J20">
        <f>_xll.BDP("AFL UN Equity","CHG_PCT_YTD_RT")</f>
        <v>27.2727</v>
      </c>
    </row>
    <row r="21" spans="1:10" x14ac:dyDescent="0.25">
      <c r="A21" t="s">
        <v>28</v>
      </c>
      <c r="B21">
        <f>_xll.BDP("AIG UN Equity","LAST_PRICE")</f>
        <v>74.08</v>
      </c>
      <c r="C21">
        <f>_xll.BDP("AIG UN Equity","LAST_PRICE")</f>
        <v>74.08</v>
      </c>
      <c r="D21">
        <f>_xll.BDP("AIG UN Equity","LAST_PRICE")</f>
        <v>74.08</v>
      </c>
      <c r="E21">
        <f>_xll.BDP("AIG UN Equity","LAST_PRICE")</f>
        <v>74.08</v>
      </c>
      <c r="F21">
        <f>_xll.BDP("AIG UN Equity","RT_PX_CHG_PCT_1D")</f>
        <v>-1.9586999416351318</v>
      </c>
      <c r="G21">
        <f>_xll.BDP("AIG UN Equity","REALTIME_5_DAY_CHANGE_PERCENT")</f>
        <v>-2.5390999999999999</v>
      </c>
      <c r="H21">
        <f>_xll.BDP("AIG UN Equity","CHG_PCT_1M_RT")</f>
        <v>-1.9846999999999999</v>
      </c>
      <c r="I21">
        <f>_xll.BDP("AIG UN Equity","CHG_PCT_3M_RT")</f>
        <v>1.7302999999999999</v>
      </c>
      <c r="J21">
        <f>_xll.BDP("AIG UN Equity","CHG_PCT_YTD_RT")</f>
        <v>9.3431999999999995</v>
      </c>
    </row>
    <row r="22" spans="1:10" x14ac:dyDescent="0.25">
      <c r="A22" t="s">
        <v>29</v>
      </c>
      <c r="B22">
        <f>_xll.BDP("AIZ UN Equity","LAST_PRICE")</f>
        <v>218.63</v>
      </c>
      <c r="C22">
        <f>_xll.BDP("AIZ UN Equity","LAST_PRICE")</f>
        <v>218.63</v>
      </c>
      <c r="D22">
        <f>_xll.BDP("AIZ UN Equity","LAST_PRICE")</f>
        <v>218.63</v>
      </c>
      <c r="E22">
        <f>_xll.BDP("AIZ UN Equity","LAST_PRICE")</f>
        <v>218.63</v>
      </c>
      <c r="F22">
        <f>_xll.BDP("AIZ UN Equity","RT_PX_CHG_PCT_1D")</f>
        <v>-2.1438999176025391</v>
      </c>
      <c r="G22">
        <f>_xll.BDP("AIZ UN Equity","REALTIME_5_DAY_CHANGE_PERCENT")</f>
        <v>-3.1454</v>
      </c>
      <c r="H22">
        <f>_xll.BDP("AIZ UN Equity","CHG_PCT_1M_RT")</f>
        <v>4.4127999999999998</v>
      </c>
      <c r="I22">
        <f>_xll.BDP("AIZ UN Equity","CHG_PCT_3M_RT")</f>
        <v>13.1274</v>
      </c>
      <c r="J22">
        <f>_xll.BDP("AIZ UN Equity","CHG_PCT_YTD_RT")</f>
        <v>29.758400000000002</v>
      </c>
    </row>
    <row r="23" spans="1:10" x14ac:dyDescent="0.25">
      <c r="A23" t="s">
        <v>30</v>
      </c>
      <c r="B23">
        <f>_xll.BDP("AJG UN Equity","LAST_PRICE")</f>
        <v>291.85000000000002</v>
      </c>
      <c r="C23">
        <f>_xll.BDP("AJG UN Equity","LAST_PRICE")</f>
        <v>291.85000000000002</v>
      </c>
      <c r="D23">
        <f>_xll.BDP("AJG UN Equity","LAST_PRICE")</f>
        <v>291.85000000000002</v>
      </c>
      <c r="E23">
        <f>_xll.BDP("AJG UN Equity","LAST_PRICE")</f>
        <v>291.85000000000002</v>
      </c>
      <c r="F23">
        <f>_xll.BDP("AJG UN Equity","RT_PX_CHG_PCT_1D")</f>
        <v>-1.6380000114440918</v>
      </c>
      <c r="G23">
        <f>_xll.BDP("AJG UN Equity","REALTIME_5_DAY_CHANGE_PERCENT")</f>
        <v>-5.2312000000000003</v>
      </c>
      <c r="H23">
        <f>_xll.BDP("AJG UN Equity","CHG_PCT_1M_RT")</f>
        <v>-0.99060000000000004</v>
      </c>
      <c r="I23">
        <f>_xll.BDP("AJG UN Equity","CHG_PCT_3M_RT")</f>
        <v>-2.3717000000000001</v>
      </c>
      <c r="J23">
        <f>_xll.BDP("AJG UN Equity","CHG_PCT_YTD_RT")</f>
        <v>29.7803</v>
      </c>
    </row>
    <row r="24" spans="1:10" x14ac:dyDescent="0.25">
      <c r="A24" t="s">
        <v>31</v>
      </c>
      <c r="B24">
        <f>_xll.BDP("AKAM UW Equity","LAST_PRICE")</f>
        <v>99.12</v>
      </c>
      <c r="C24">
        <f>_xll.BDP("AKAM UW Equity","LAST_PRICE")</f>
        <v>99.12</v>
      </c>
      <c r="D24">
        <f>_xll.BDP("AKAM UW Equity","LAST_PRICE")</f>
        <v>99.12</v>
      </c>
      <c r="E24">
        <f>_xll.BDP("AKAM UW Equity","LAST_PRICE")</f>
        <v>99.12</v>
      </c>
      <c r="F24">
        <f>_xll.BDP("AKAM UW Equity","RT_PX_CHG_PCT_1D")</f>
        <v>1.0809999704360962</v>
      </c>
      <c r="G24">
        <f>_xll.BDP("AKAM UW Equity","REALTIME_5_DAY_CHANGE_PERCENT")</f>
        <v>1.2152000000000001</v>
      </c>
      <c r="H24">
        <f>_xll.BDP("AKAM UW Equity","CHG_PCT_1M_RT")</f>
        <v>10.909700000000001</v>
      </c>
      <c r="I24">
        <f>_xll.BDP("AKAM UW Equity","CHG_PCT_3M_RT")</f>
        <v>4.26</v>
      </c>
      <c r="J24">
        <f>_xll.BDP("AKAM UW Equity","CHG_PCT_YTD_RT")</f>
        <v>-16.2484</v>
      </c>
    </row>
    <row r="25" spans="1:10" x14ac:dyDescent="0.25">
      <c r="A25" t="s">
        <v>32</v>
      </c>
      <c r="B25">
        <f>_xll.BDP("ALB UN Equity","LAST_PRICE")</f>
        <v>109.66</v>
      </c>
      <c r="C25">
        <f>_xll.BDP("ALB UN Equity","LAST_PRICE")</f>
        <v>109.66</v>
      </c>
      <c r="D25">
        <f>_xll.BDP("ALB UN Equity","LAST_PRICE")</f>
        <v>109.66</v>
      </c>
      <c r="E25">
        <f>_xll.BDP("ALB UN Equity","LAST_PRICE")</f>
        <v>109.66</v>
      </c>
      <c r="F25">
        <f>_xll.BDP("ALB UN Equity","RT_PX_CHG_PCT_1D")</f>
        <v>4.4779000282287598</v>
      </c>
      <c r="G25">
        <f>_xll.BDP("ALB UN Equity","REALTIME_5_DAY_CHANGE_PERCENT")</f>
        <v>-1.4735</v>
      </c>
      <c r="H25">
        <f>_xll.BDP("ALB UN Equity","CHG_PCT_1M_RT")</f>
        <v>8.7464999999999993</v>
      </c>
      <c r="I25">
        <f>_xll.BDP("ALB UN Equity","CHG_PCT_3M_RT")</f>
        <v>39.854599999999998</v>
      </c>
      <c r="J25">
        <f>_xll.BDP("ALB UN Equity","CHG_PCT_YTD_RT")</f>
        <v>-24.100200000000001</v>
      </c>
    </row>
    <row r="26" spans="1:10" x14ac:dyDescent="0.25">
      <c r="A26" t="s">
        <v>33</v>
      </c>
      <c r="B26">
        <f>_xll.BDP("ALGN UW Equity","LAST_PRICE")</f>
        <v>237.57</v>
      </c>
      <c r="C26">
        <f>_xll.BDP("ALGN UW Equity","LAST_PRICE")</f>
        <v>237.57</v>
      </c>
      <c r="D26">
        <f>_xll.BDP("ALGN UW Equity","LAST_PRICE")</f>
        <v>237.57</v>
      </c>
      <c r="E26">
        <f>_xll.BDP("ALGN UW Equity","LAST_PRICE")</f>
        <v>237.57</v>
      </c>
      <c r="F26">
        <f>_xll.BDP("ALGN UW Equity","RT_PX_CHG_PCT_1D")</f>
        <v>2.2465999126434326</v>
      </c>
      <c r="G26">
        <f>_xll.BDP("ALGN UW Equity","REALTIME_5_DAY_CHANGE_PERCENT")</f>
        <v>1.4649000000000001</v>
      </c>
      <c r="H26">
        <f>_xll.BDP("ALGN UW Equity","CHG_PCT_1M_RT")</f>
        <v>7.7366000000000001</v>
      </c>
      <c r="I26">
        <f>_xll.BDP("ALGN UW Equity","CHG_PCT_3M_RT")</f>
        <v>7.3132000000000001</v>
      </c>
      <c r="J26">
        <f>_xll.BDP("ALGN UW Equity","CHG_PCT_YTD_RT")</f>
        <v>-13.2956</v>
      </c>
    </row>
    <row r="27" spans="1:10" x14ac:dyDescent="0.25">
      <c r="A27" t="s">
        <v>34</v>
      </c>
      <c r="B27">
        <f>_xll.BDP("ALL UN Equity","LAST_PRICE")</f>
        <v>199.04</v>
      </c>
      <c r="C27">
        <f>_xll.BDP("ALL UN Equity","LAST_PRICE")</f>
        <v>199.04</v>
      </c>
      <c r="D27">
        <f>_xll.BDP("ALL UN Equity","LAST_PRICE")</f>
        <v>199.04</v>
      </c>
      <c r="E27">
        <f>_xll.BDP("ALL UN Equity","LAST_PRICE")</f>
        <v>199.04</v>
      </c>
      <c r="F27">
        <f>_xll.BDP("ALL UN Equity","RT_PX_CHG_PCT_1D")</f>
        <v>-2.2588999271392822</v>
      </c>
      <c r="G27">
        <f>_xll.BDP("ALL UN Equity","REALTIME_5_DAY_CHANGE_PERCENT")</f>
        <v>-2.6175000000000002</v>
      </c>
      <c r="H27">
        <f>_xll.BDP("ALL UN Equity","CHG_PCT_1M_RT")</f>
        <v>1.0868</v>
      </c>
      <c r="I27">
        <f>_xll.BDP("ALL UN Equity","CHG_PCT_3M_RT")</f>
        <v>6.3247999999999998</v>
      </c>
      <c r="J27">
        <f>_xll.BDP("ALL UN Equity","CHG_PCT_YTD_RT")</f>
        <v>42.191699999999997</v>
      </c>
    </row>
    <row r="28" spans="1:10" x14ac:dyDescent="0.25">
      <c r="A28" t="s">
        <v>35</v>
      </c>
      <c r="B28">
        <f>_xll.BDP("ALLE UN Equity","LAST_PRICE")</f>
        <v>141.43</v>
      </c>
      <c r="C28">
        <f>_xll.BDP("ALLE UN Equity","LAST_PRICE")</f>
        <v>141.43</v>
      </c>
      <c r="D28">
        <f>_xll.BDP("ALLE UN Equity","LAST_PRICE")</f>
        <v>141.43</v>
      </c>
      <c r="E28">
        <f>_xll.BDP("ALLE UN Equity","LAST_PRICE")</f>
        <v>141.43</v>
      </c>
      <c r="F28">
        <f>_xll.BDP("ALLE UN Equity","RT_PX_CHG_PCT_1D")</f>
        <v>0.66909998655319214</v>
      </c>
      <c r="G28">
        <f>_xll.BDP("ALLE UN Equity","REALTIME_5_DAY_CHANGE_PERCENT")</f>
        <v>0.73360000000000003</v>
      </c>
      <c r="H28">
        <f>_xll.BDP("ALLE UN Equity","CHG_PCT_1M_RT")</f>
        <v>-1.6344000000000001</v>
      </c>
      <c r="I28">
        <f>_xll.BDP("ALLE UN Equity","CHG_PCT_3M_RT")</f>
        <v>5.1055000000000001</v>
      </c>
      <c r="J28">
        <f>_xll.BDP("ALLE UN Equity","CHG_PCT_YTD_RT")</f>
        <v>11.6347</v>
      </c>
    </row>
    <row r="29" spans="1:10" x14ac:dyDescent="0.25">
      <c r="A29" t="s">
        <v>36</v>
      </c>
      <c r="B29">
        <f>_xll.BDP("AMAT UW Equity","LAST_PRICE")</f>
        <v>171.86</v>
      </c>
      <c r="C29">
        <f>_xll.BDP("AMAT UW Equity","LAST_PRICE")</f>
        <v>171.86</v>
      </c>
      <c r="D29">
        <f>_xll.BDP("AMAT UW Equity","LAST_PRICE")</f>
        <v>171.86</v>
      </c>
      <c r="E29">
        <f>_xll.BDP("AMAT UW Equity","LAST_PRICE")</f>
        <v>171.86</v>
      </c>
      <c r="F29">
        <f>_xll.BDP("AMAT UW Equity","RT_PX_CHG_PCT_1D")</f>
        <v>-0.67040002346038818</v>
      </c>
      <c r="G29">
        <f>_xll.BDP("AMAT UW Equity","REALTIME_5_DAY_CHANGE_PERCENT")</f>
        <v>-6.2232000000000003</v>
      </c>
      <c r="H29">
        <f>_xll.BDP("AMAT UW Equity","CHG_PCT_1M_RT")</f>
        <v>-10.5036</v>
      </c>
      <c r="I29">
        <f>_xll.BDP("AMAT UW Equity","CHG_PCT_3M_RT")</f>
        <v>-3.2046999999999999</v>
      </c>
      <c r="J29">
        <f>_xll.BDP("AMAT UW Equity","CHG_PCT_YTD_RT")</f>
        <v>6.0406000000000004</v>
      </c>
    </row>
    <row r="30" spans="1:10" x14ac:dyDescent="0.25">
      <c r="A30" t="s">
        <v>37</v>
      </c>
      <c r="B30">
        <f>_xll.BDP("AMCR UN Equity","LAST_PRICE")</f>
        <v>10.199999999999999</v>
      </c>
      <c r="C30">
        <f>_xll.BDP("AMCR UN Equity","LAST_PRICE")</f>
        <v>10.199999999999999</v>
      </c>
      <c r="D30">
        <f>_xll.BDP("AMCR UN Equity","LAST_PRICE")</f>
        <v>10.199999999999999</v>
      </c>
      <c r="E30">
        <f>_xll.BDP("AMCR UN Equity","LAST_PRICE")</f>
        <v>10.199999999999999</v>
      </c>
      <c r="F30">
        <f>_xll.BDP("AMCR UN Equity","RT_PX_CHG_PCT_1D")</f>
        <v>0.19650000333786011</v>
      </c>
      <c r="G30">
        <f>_xll.BDP("AMCR UN Equity","REALTIME_5_DAY_CHANGE_PERCENT")</f>
        <v>-3.5005000000000002</v>
      </c>
      <c r="H30">
        <f>_xll.BDP("AMCR UN Equity","CHG_PCT_1M_RT")</f>
        <v>-0.19570000000000001</v>
      </c>
      <c r="I30">
        <f>_xll.BDP("AMCR UN Equity","CHG_PCT_3M_RT")</f>
        <v>-8.1081000000000003</v>
      </c>
      <c r="J30">
        <f>_xll.BDP("AMCR UN Equity","CHG_PCT_YTD_RT")</f>
        <v>5.8090999999999999</v>
      </c>
    </row>
    <row r="31" spans="1:10" x14ac:dyDescent="0.25">
      <c r="A31" t="s">
        <v>38</v>
      </c>
      <c r="B31">
        <f>_xll.BDP("AMD UW Equity","LAST_PRICE")</f>
        <v>130.87</v>
      </c>
      <c r="C31">
        <f>_xll.BDP("AMD UW Equity","LAST_PRICE")</f>
        <v>130.87</v>
      </c>
      <c r="D31">
        <f>_xll.BDP("AMD UW Equity","LAST_PRICE")</f>
        <v>130.87</v>
      </c>
      <c r="E31">
        <f>_xll.BDP("AMD UW Equity","LAST_PRICE")</f>
        <v>130.87</v>
      </c>
      <c r="F31">
        <f>_xll.BDP("AMD UW Equity","RT_PX_CHG_PCT_1D")</f>
        <v>-5.5704002380371094</v>
      </c>
      <c r="G31">
        <f>_xll.BDP("AMD UW Equity","REALTIME_5_DAY_CHANGE_PERCENT")</f>
        <v>-7.8769999999999998</v>
      </c>
      <c r="H31">
        <f>_xll.BDP("AMD UW Equity","CHG_PCT_1M_RT")</f>
        <v>-11.5444</v>
      </c>
      <c r="I31">
        <f>_xll.BDP("AMD UW Equity","CHG_PCT_3M_RT")</f>
        <v>-5.2695999999999996</v>
      </c>
      <c r="J31">
        <f>_xll.BDP("AMD UW Equity","CHG_PCT_YTD_RT")</f>
        <v>-11.2204</v>
      </c>
    </row>
    <row r="32" spans="1:10" x14ac:dyDescent="0.25">
      <c r="A32" t="s">
        <v>39</v>
      </c>
      <c r="B32">
        <f>_xll.BDP("AME UN Equity","LAST_PRICE")</f>
        <v>189.89</v>
      </c>
      <c r="C32">
        <f>_xll.BDP("AME UN Equity","LAST_PRICE")</f>
        <v>189.89</v>
      </c>
      <c r="D32">
        <f>_xll.BDP("AME UN Equity","LAST_PRICE")</f>
        <v>189.89</v>
      </c>
      <c r="E32">
        <f>_xll.BDP("AME UN Equity","LAST_PRICE")</f>
        <v>189.89</v>
      </c>
      <c r="F32">
        <f>_xll.BDP("AME UN Equity","RT_PX_CHG_PCT_1D")</f>
        <v>-0.86140000820159912</v>
      </c>
      <c r="G32">
        <f>_xll.BDP("AME UN Equity","REALTIME_5_DAY_CHANGE_PERCENT")</f>
        <v>-2.8994</v>
      </c>
      <c r="H32">
        <f>_xll.BDP("AME UN Equity","CHG_PCT_1M_RT")</f>
        <v>-0.53949999999999998</v>
      </c>
      <c r="I32">
        <f>_xll.BDP("AME UN Equity","CHG_PCT_3M_RT")</f>
        <v>15.575200000000001</v>
      </c>
      <c r="J32">
        <f>_xll.BDP("AME UN Equity","CHG_PCT_YTD_RT")</f>
        <v>15.1616</v>
      </c>
    </row>
    <row r="33" spans="1:10" x14ac:dyDescent="0.25">
      <c r="A33" t="s">
        <v>40</v>
      </c>
      <c r="B33">
        <f>_xll.BDP("AMGN UW Equity","LAST_PRICE")</f>
        <v>277.63</v>
      </c>
      <c r="C33">
        <f>_xll.BDP("AMGN UW Equity","LAST_PRICE")</f>
        <v>277.63</v>
      </c>
      <c r="D33">
        <f>_xll.BDP("AMGN UW Equity","LAST_PRICE")</f>
        <v>277.63</v>
      </c>
      <c r="E33">
        <f>_xll.BDP("AMGN UW Equity","LAST_PRICE")</f>
        <v>277.63</v>
      </c>
      <c r="F33">
        <f>_xll.BDP("AMGN UW Equity","RT_PX_CHG_PCT_1D")</f>
        <v>1.8526999950408936</v>
      </c>
      <c r="G33">
        <f>_xll.BDP("AMGN UW Equity","REALTIME_5_DAY_CHANGE_PERCENT")</f>
        <v>-0.16900000000000001</v>
      </c>
      <c r="H33">
        <f>_xll.BDP("AMGN UW Equity","CHG_PCT_1M_RT")</f>
        <v>-14.648899999999999</v>
      </c>
      <c r="I33">
        <f>_xll.BDP("AMGN UW Equity","CHG_PCT_3M_RT")</f>
        <v>-14.8165</v>
      </c>
      <c r="J33">
        <f>_xll.BDP("AMGN UW Equity","CHG_PCT_YTD_RT")</f>
        <v>-3.6074000000000002</v>
      </c>
    </row>
    <row r="34" spans="1:10" x14ac:dyDescent="0.25">
      <c r="A34" t="s">
        <v>41</v>
      </c>
      <c r="B34">
        <f>_xll.BDP("AMP UN Equity","LAST_PRICE")</f>
        <v>553.83000000000004</v>
      </c>
      <c r="C34">
        <f>_xll.BDP("AMP UN Equity","LAST_PRICE")</f>
        <v>553.83000000000004</v>
      </c>
      <c r="D34">
        <f>_xll.BDP("AMP UN Equity","LAST_PRICE")</f>
        <v>553.83000000000004</v>
      </c>
      <c r="E34">
        <f>_xll.BDP("AMP UN Equity","LAST_PRICE")</f>
        <v>553.83000000000004</v>
      </c>
      <c r="F34">
        <f>_xll.BDP("AMP UN Equity","RT_PX_CHG_PCT_1D")</f>
        <v>-1.3747999668121338</v>
      </c>
      <c r="G34">
        <f>_xll.BDP("AMP UN Equity","REALTIME_5_DAY_CHANGE_PERCENT")</f>
        <v>-2.0411000000000001</v>
      </c>
      <c r="H34">
        <f>_xll.BDP("AMP UN Equity","CHG_PCT_1M_RT")</f>
        <v>0.33329999999999999</v>
      </c>
      <c r="I34">
        <f>_xll.BDP("AMP UN Equity","CHG_PCT_3M_RT")</f>
        <v>26.923300000000001</v>
      </c>
      <c r="J34">
        <f>_xll.BDP("AMP UN Equity","CHG_PCT_YTD_RT")</f>
        <v>45.81</v>
      </c>
    </row>
    <row r="35" spans="1:10" x14ac:dyDescent="0.25">
      <c r="A35" t="s">
        <v>42</v>
      </c>
      <c r="B35">
        <f>_xll.BDP("AMT UN Equity","LAST_PRICE")</f>
        <v>209.04</v>
      </c>
      <c r="C35">
        <f>_xll.BDP("AMT UN Equity","LAST_PRICE")</f>
        <v>209.04</v>
      </c>
      <c r="D35">
        <f>_xll.BDP("AMT UN Equity","LAST_PRICE")</f>
        <v>209.04</v>
      </c>
      <c r="E35">
        <f>_xll.BDP("AMT UN Equity","LAST_PRICE")</f>
        <v>209.04</v>
      </c>
      <c r="F35">
        <f>_xll.BDP("AMT UN Equity","RT_PX_CHG_PCT_1D")</f>
        <v>0.93669998645782471</v>
      </c>
      <c r="G35">
        <f>_xll.BDP("AMT UN Equity","REALTIME_5_DAY_CHANGE_PERCENT")</f>
        <v>0.82479999999999998</v>
      </c>
      <c r="H35">
        <f>_xll.BDP("AMT UN Equity","CHG_PCT_1M_RT")</f>
        <v>3.5876999999999999</v>
      </c>
      <c r="I35">
        <f>_xll.BDP("AMT UN Equity","CHG_PCT_3M_RT")</f>
        <v>-12.363200000000001</v>
      </c>
      <c r="J35">
        <f>_xll.BDP("AMT UN Equity","CHG_PCT_YTD_RT")</f>
        <v>-3.1684000000000001</v>
      </c>
    </row>
    <row r="36" spans="1:10" x14ac:dyDescent="0.25">
      <c r="A36" t="s">
        <v>43</v>
      </c>
      <c r="B36">
        <f>_xll.BDP("AMTM UN Equity","LAST_PRICE")</f>
        <v>23.75</v>
      </c>
      <c r="C36">
        <f>_xll.BDP("AMTM UN Equity","LAST_PRICE")</f>
        <v>23.75</v>
      </c>
      <c r="D36">
        <f>_xll.BDP("AMTM UN Equity","LAST_PRICE")</f>
        <v>23.75</v>
      </c>
      <c r="E36">
        <f>_xll.BDP("AMTM UN Equity","LAST_PRICE")</f>
        <v>23.75</v>
      </c>
      <c r="F36">
        <f>_xll.BDP("AMTM UN Equity","RT_PX_CHG_PCT_1D")</f>
        <v>2.5032000541687012</v>
      </c>
      <c r="G36">
        <f>_xll.BDP("AMTM UN Equity","REALTIME_5_DAY_CHANGE_PERCENT")</f>
        <v>-0.46100000000000002</v>
      </c>
      <c r="H36">
        <f>_xll.BDP("AMTM UN Equity","CHG_PCT_1M_RT")</f>
        <v>-28.892199999999999</v>
      </c>
      <c r="I36" t="str">
        <f>_xll.BDP("AMTM UN Equity","CHG_PCT_3M_RT")</f>
        <v>#N/A N/A</v>
      </c>
      <c r="J36" t="str">
        <f>_xll.BDP("AMTM UN Equity","CHG_PCT_YTD_RT")</f>
        <v>#N/A N/A</v>
      </c>
    </row>
    <row r="37" spans="1:10" x14ac:dyDescent="0.25">
      <c r="A37" t="s">
        <v>44</v>
      </c>
      <c r="B37">
        <f>_xll.BDP("AMZN UW Equity","LAST_PRICE")</f>
        <v>226.09</v>
      </c>
      <c r="C37">
        <f>_xll.BDP("AMZN UW Equity","LAST_PRICE")</f>
        <v>226.09</v>
      </c>
      <c r="D37">
        <f>_xll.BDP("AMZN UW Equity","LAST_PRICE")</f>
        <v>226.09</v>
      </c>
      <c r="E37">
        <f>_xll.BDP("AMZN UW Equity","LAST_PRICE")</f>
        <v>226.09</v>
      </c>
      <c r="F37">
        <f>_xll.BDP("AMZN UW Equity","RT_PX_CHG_PCT_1D")</f>
        <v>-0.414000004529953</v>
      </c>
      <c r="G37">
        <f>_xll.BDP("AMZN UW Equity","REALTIME_5_DAY_CHANGE_PERCENT")</f>
        <v>7.2991000000000001</v>
      </c>
      <c r="H37">
        <f>_xll.BDP("AMZN UW Equity","CHG_PCT_1M_RT")</f>
        <v>8.6030999999999995</v>
      </c>
      <c r="I37">
        <f>_xll.BDP("AMZN UW Equity","CHG_PCT_3M_RT")</f>
        <v>28.899699999999999</v>
      </c>
      <c r="J37">
        <f>_xll.BDP("AMZN UW Equity","CHG_PCT_YTD_RT")</f>
        <v>48.802199999999999</v>
      </c>
    </row>
    <row r="38" spans="1:10" x14ac:dyDescent="0.25">
      <c r="A38" t="s">
        <v>45</v>
      </c>
      <c r="B38">
        <f>_xll.BDP("ANET UN Equity","LAST_PRICE")</f>
        <v>105.92</v>
      </c>
      <c r="C38">
        <f>_xll.BDP("ANET UN Equity","LAST_PRICE")</f>
        <v>105.92</v>
      </c>
      <c r="D38">
        <f>_xll.BDP("ANET UN Equity","LAST_PRICE")</f>
        <v>105.92</v>
      </c>
      <c r="E38">
        <f>_xll.BDP("ANET UN Equity","LAST_PRICE")</f>
        <v>105.92</v>
      </c>
      <c r="F38">
        <f>_xll.BDP("ANET UN Equity","RT_PX_CHG_PCT_1D")</f>
        <v>-2.152400016784668</v>
      </c>
      <c r="G38">
        <f>_xll.BDP("ANET UN Equity","REALTIME_5_DAY_CHANGE_PERCENT")</f>
        <v>3.3113999999999999</v>
      </c>
      <c r="H38">
        <f>_xll.BDP("ANET UN Equity","CHG_PCT_1M_RT")</f>
        <v>5.8014999999999999</v>
      </c>
      <c r="I38">
        <f>_xll.BDP("ANET UN Equity","CHG_PCT_3M_RT")</f>
        <v>30.456199999999999</v>
      </c>
      <c r="J38">
        <f>_xll.BDP("ANET UN Equity","CHG_PCT_YTD_RT")</f>
        <v>79.900499999999994</v>
      </c>
    </row>
    <row r="39" spans="1:10" x14ac:dyDescent="0.25">
      <c r="A39" t="s">
        <v>46</v>
      </c>
      <c r="B39">
        <f>_xll.BDP("ANSS UW Equity","LAST_PRICE")</f>
        <v>342.51</v>
      </c>
      <c r="C39">
        <f>_xll.BDP("ANSS UW Equity","LAST_PRICE")</f>
        <v>342.51</v>
      </c>
      <c r="D39">
        <f>_xll.BDP("ANSS UW Equity","LAST_PRICE")</f>
        <v>342.51</v>
      </c>
      <c r="E39">
        <f>_xll.BDP("ANSS UW Equity","LAST_PRICE")</f>
        <v>342.51</v>
      </c>
      <c r="F39">
        <f>_xll.BDP("ANSS UW Equity","RT_PX_CHG_PCT_1D")</f>
        <v>-0.80800002813339233</v>
      </c>
      <c r="G39">
        <f>_xll.BDP("ANSS UW Equity","REALTIME_5_DAY_CHANGE_PERCENT")</f>
        <v>-2.2824</v>
      </c>
      <c r="H39">
        <f>_xll.BDP("ANSS UW Equity","CHG_PCT_1M_RT")</f>
        <v>9.64E-2</v>
      </c>
      <c r="I39">
        <f>_xll.BDP("ANSS UW Equity","CHG_PCT_3M_RT")</f>
        <v>10.594099999999999</v>
      </c>
      <c r="J39">
        <f>_xll.BDP("ANSS UW Equity","CHG_PCT_YTD_RT")</f>
        <v>-5.6134000000000004</v>
      </c>
    </row>
    <row r="40" spans="1:10" x14ac:dyDescent="0.25">
      <c r="A40" t="s">
        <v>47</v>
      </c>
      <c r="B40">
        <f>_xll.BDP("AON UN Equity","LAST_PRICE")</f>
        <v>367.9</v>
      </c>
      <c r="C40">
        <f>_xll.BDP("AON UN Equity","LAST_PRICE")</f>
        <v>367.9</v>
      </c>
      <c r="D40">
        <f>_xll.BDP("AON UN Equity","LAST_PRICE")</f>
        <v>367.9</v>
      </c>
      <c r="E40">
        <f>_xll.BDP("AON UN Equity","LAST_PRICE")</f>
        <v>367.9</v>
      </c>
      <c r="F40">
        <f>_xll.BDP("AON UN Equity","RT_PX_CHG_PCT_1D")</f>
        <v>-2.6719999313354492</v>
      </c>
      <c r="G40">
        <f>_xll.BDP("AON UN Equity","REALTIME_5_DAY_CHANGE_PERCENT")</f>
        <v>-5.1094999999999997</v>
      </c>
      <c r="H40">
        <f>_xll.BDP("AON UN Equity","CHG_PCT_1M_RT")</f>
        <v>-4.1378000000000004</v>
      </c>
      <c r="I40">
        <f>_xll.BDP("AON UN Equity","CHG_PCT_3M_RT")</f>
        <v>4.9672999999999998</v>
      </c>
      <c r="J40">
        <f>_xll.BDP("AON UN Equity","CHG_PCT_YTD_RT")</f>
        <v>26.417400000000001</v>
      </c>
    </row>
    <row r="41" spans="1:10" x14ac:dyDescent="0.25">
      <c r="A41" t="s">
        <v>48</v>
      </c>
      <c r="B41">
        <f>_xll.BDP("AOS UN Equity","LAST_PRICE")</f>
        <v>73.89</v>
      </c>
      <c r="C41">
        <f>_xll.BDP("AOS UN Equity","LAST_PRICE")</f>
        <v>73.89</v>
      </c>
      <c r="D41">
        <f>_xll.BDP("AOS UN Equity","LAST_PRICE")</f>
        <v>73.89</v>
      </c>
      <c r="E41">
        <f>_xll.BDP("AOS UN Equity","LAST_PRICE")</f>
        <v>73.89</v>
      </c>
      <c r="F41">
        <f>_xll.BDP("AOS UN Equity","RT_PX_CHG_PCT_1D")</f>
        <v>1.7627999782562256</v>
      </c>
      <c r="G41">
        <f>_xll.BDP("AOS UN Equity","REALTIME_5_DAY_CHANGE_PERCENT")</f>
        <v>-1.0181</v>
      </c>
      <c r="H41">
        <f>_xll.BDP("AOS UN Equity","CHG_PCT_1M_RT")</f>
        <v>-1.2958000000000001</v>
      </c>
      <c r="I41">
        <f>_xll.BDP("AOS UN Equity","CHG_PCT_3M_RT")</f>
        <v>-5.1353999999999997</v>
      </c>
      <c r="J41">
        <f>_xll.BDP("AOS UN Equity","CHG_PCT_YTD_RT")</f>
        <v>-10.3712</v>
      </c>
    </row>
    <row r="42" spans="1:10" x14ac:dyDescent="0.25">
      <c r="A42" t="s">
        <v>49</v>
      </c>
      <c r="B42">
        <f>_xll.BDP("APA UW Equity","LAST_PRICE")</f>
        <v>22.25</v>
      </c>
      <c r="C42">
        <f>_xll.BDP("APA UW Equity","LAST_PRICE")</f>
        <v>22.25</v>
      </c>
      <c r="D42">
        <f>_xll.BDP("APA UW Equity","LAST_PRICE")</f>
        <v>22.25</v>
      </c>
      <c r="E42">
        <f>_xll.BDP("APA UW Equity","LAST_PRICE")</f>
        <v>22.25</v>
      </c>
      <c r="F42">
        <f>_xll.BDP("APA UW Equity","RT_PX_CHG_PCT_1D")</f>
        <v>3.8749001026153564</v>
      </c>
      <c r="G42">
        <f>_xll.BDP("APA UW Equity","REALTIME_5_DAY_CHANGE_PERCENT")</f>
        <v>-0.40289999999999998</v>
      </c>
      <c r="H42">
        <f>_xll.BDP("APA UW Equity","CHG_PCT_1M_RT")</f>
        <v>2.2048999999999999</v>
      </c>
      <c r="I42">
        <f>_xll.BDP("APA UW Equity","CHG_PCT_3M_RT")</f>
        <v>-10.7143</v>
      </c>
      <c r="J42">
        <f>_xll.BDP("APA UW Equity","CHG_PCT_YTD_RT")</f>
        <v>-37.987699999999997</v>
      </c>
    </row>
    <row r="43" spans="1:10" x14ac:dyDescent="0.25">
      <c r="A43" t="s">
        <v>50</v>
      </c>
      <c r="B43">
        <f>_xll.BDP("APD UN Equity","LAST_PRICE")</f>
        <v>316.62</v>
      </c>
      <c r="C43">
        <f>_xll.BDP("APD UN Equity","LAST_PRICE")</f>
        <v>316.62</v>
      </c>
      <c r="D43">
        <f>_xll.BDP("APD UN Equity","LAST_PRICE")</f>
        <v>316.62</v>
      </c>
      <c r="E43">
        <f>_xll.BDP("APD UN Equity","LAST_PRICE")</f>
        <v>316.62</v>
      </c>
      <c r="F43">
        <f>_xll.BDP("APD UN Equity","RT_PX_CHG_PCT_1D")</f>
        <v>-1.0902999639511108</v>
      </c>
      <c r="G43">
        <f>_xll.BDP("APD UN Equity","REALTIME_5_DAY_CHANGE_PERCENT")</f>
        <v>-5.6612</v>
      </c>
      <c r="H43">
        <f>_xll.BDP("APD UN Equity","CHG_PCT_1M_RT")</f>
        <v>1.1597999999999999</v>
      </c>
      <c r="I43">
        <f>_xll.BDP("APD UN Equity","CHG_PCT_3M_RT")</f>
        <v>15.630699999999999</v>
      </c>
      <c r="J43">
        <f>_xll.BDP("APD UN Equity","CHG_PCT_YTD_RT")</f>
        <v>15.639200000000001</v>
      </c>
    </row>
    <row r="44" spans="1:10" x14ac:dyDescent="0.25">
      <c r="A44" t="s">
        <v>51</v>
      </c>
      <c r="B44">
        <f>_xll.BDP("APH UN Equity","LAST_PRICE")</f>
        <v>73.67</v>
      </c>
      <c r="C44">
        <f>_xll.BDP("APH UN Equity","LAST_PRICE")</f>
        <v>73.67</v>
      </c>
      <c r="D44">
        <f>_xll.BDP("APH UN Equity","LAST_PRICE")</f>
        <v>73.67</v>
      </c>
      <c r="E44">
        <f>_xll.BDP("APH UN Equity","LAST_PRICE")</f>
        <v>73.67</v>
      </c>
      <c r="F44">
        <f>_xll.BDP("APH UN Equity","RT_PX_CHG_PCT_1D")</f>
        <v>-0.72769999504089355</v>
      </c>
      <c r="G44">
        <f>_xll.BDP("APH UN Equity","REALTIME_5_DAY_CHANGE_PERCENT")</f>
        <v>0.80730000000000002</v>
      </c>
      <c r="H44">
        <f>_xll.BDP("APH UN Equity","CHG_PCT_1M_RT")</f>
        <v>-0.2707</v>
      </c>
      <c r="I44">
        <f>_xll.BDP("APH UN Equity","CHG_PCT_3M_RT")</f>
        <v>21.307400000000001</v>
      </c>
      <c r="J44">
        <f>_xll.BDP("APH UN Equity","CHG_PCT_YTD_RT")</f>
        <v>48.633099999999999</v>
      </c>
    </row>
    <row r="45" spans="1:10" x14ac:dyDescent="0.25">
      <c r="A45" t="s">
        <v>52</v>
      </c>
      <c r="B45">
        <f>_xll.BDP("APTV UN Equity","LAST_PRICE")</f>
        <v>57.4</v>
      </c>
      <c r="C45">
        <f>_xll.BDP("APTV UN Equity","LAST_PRICE")</f>
        <v>57.4</v>
      </c>
      <c r="D45">
        <f>_xll.BDP("APTV UN Equity","LAST_PRICE")</f>
        <v>57.4</v>
      </c>
      <c r="E45">
        <f>_xll.BDP("APTV UN Equity","LAST_PRICE")</f>
        <v>57.4</v>
      </c>
      <c r="F45">
        <f>_xll.BDP("APTV UN Equity","RT_PX_CHG_PCT_1D")</f>
        <v>1.2882000207901001</v>
      </c>
      <c r="G45">
        <f>_xll.BDP("APTV UN Equity","REALTIME_5_DAY_CHANGE_PERCENT")</f>
        <v>2.3719999999999999</v>
      </c>
      <c r="H45">
        <f>_xll.BDP("APTV UN Equity","CHG_PCT_1M_RT")</f>
        <v>2.0444</v>
      </c>
      <c r="I45">
        <f>_xll.BDP("APTV UN Equity","CHG_PCT_3M_RT")</f>
        <v>-16.907900000000001</v>
      </c>
      <c r="J45">
        <f>_xll.BDP("APTV UN Equity","CHG_PCT_YTD_RT")</f>
        <v>-36.023200000000003</v>
      </c>
    </row>
    <row r="46" spans="1:10" x14ac:dyDescent="0.25">
      <c r="A46" t="s">
        <v>53</v>
      </c>
      <c r="B46">
        <f>_xll.BDP("ARE UN Equity","LAST_PRICE")</f>
        <v>106.75</v>
      </c>
      <c r="C46">
        <f>_xll.BDP("ARE UN Equity","LAST_PRICE")</f>
        <v>106.75</v>
      </c>
      <c r="D46">
        <f>_xll.BDP("ARE UN Equity","LAST_PRICE")</f>
        <v>106.75</v>
      </c>
      <c r="E46">
        <f>_xll.BDP("ARE UN Equity","LAST_PRICE")</f>
        <v>106.75</v>
      </c>
      <c r="F46">
        <f>_xll.BDP("ARE UN Equity","RT_PX_CHG_PCT_1D")</f>
        <v>2.7925000190734863</v>
      </c>
      <c r="G46">
        <f>_xll.BDP("ARE UN Equity","REALTIME_5_DAY_CHANGE_PERCENT")</f>
        <v>-2.6892</v>
      </c>
      <c r="H46">
        <f>_xll.BDP("ARE UN Equity","CHG_PCT_1M_RT")</f>
        <v>-6.3925000000000001</v>
      </c>
      <c r="I46">
        <f>_xll.BDP("ARE UN Equity","CHG_PCT_3M_RT")</f>
        <v>-9.7251999999999992</v>
      </c>
      <c r="J46">
        <f>_xll.BDP("ARE UN Equity","CHG_PCT_YTD_RT")</f>
        <v>-15.792400000000001</v>
      </c>
    </row>
    <row r="47" spans="1:10" x14ac:dyDescent="0.25">
      <c r="A47" t="s">
        <v>54</v>
      </c>
      <c r="B47">
        <f>_xll.BDP("ATO UN Equity","LAST_PRICE")</f>
        <v>141.05000000000001</v>
      </c>
      <c r="C47">
        <f>_xll.BDP("ATO UN Equity","LAST_PRICE")</f>
        <v>141.05000000000001</v>
      </c>
      <c r="D47">
        <f>_xll.BDP("ATO UN Equity","LAST_PRICE")</f>
        <v>141.05000000000001</v>
      </c>
      <c r="E47">
        <f>_xll.BDP("ATO UN Equity","LAST_PRICE")</f>
        <v>141.05000000000001</v>
      </c>
      <c r="F47">
        <f>_xll.BDP("ATO UN Equity","RT_PX_CHG_PCT_1D")</f>
        <v>-0.64099997282028198</v>
      </c>
      <c r="G47">
        <f>_xll.BDP("ATO UN Equity","REALTIME_5_DAY_CHANGE_PERCENT")</f>
        <v>-5.0552000000000001</v>
      </c>
      <c r="H47">
        <f>_xll.BDP("ATO UN Equity","CHG_PCT_1M_RT")</f>
        <v>-2.1777000000000002</v>
      </c>
      <c r="I47">
        <f>_xll.BDP("ATO UN Equity","CHG_PCT_3M_RT")</f>
        <v>5.4184999999999999</v>
      </c>
      <c r="J47">
        <f>_xll.BDP("ATO UN Equity","CHG_PCT_YTD_RT")</f>
        <v>21.6997</v>
      </c>
    </row>
    <row r="48" spans="1:10" x14ac:dyDescent="0.25">
      <c r="A48" t="s">
        <v>55</v>
      </c>
      <c r="B48">
        <f>_xll.BDP("AVB UN Equity","LAST_PRICE")</f>
        <v>226.99</v>
      </c>
      <c r="C48">
        <f>_xll.BDP("AVB UN Equity","LAST_PRICE")</f>
        <v>226.99</v>
      </c>
      <c r="D48">
        <f>_xll.BDP("AVB UN Equity","LAST_PRICE")</f>
        <v>226.99</v>
      </c>
      <c r="E48">
        <f>_xll.BDP("AVB UN Equity","LAST_PRICE")</f>
        <v>226.99</v>
      </c>
      <c r="F48">
        <f>_xll.BDP("AVB UN Equity","RT_PX_CHG_PCT_1D")</f>
        <v>0.19419999420642853</v>
      </c>
      <c r="G48">
        <f>_xll.BDP("AVB UN Equity","REALTIME_5_DAY_CHANGE_PERCENT")</f>
        <v>-1.6508</v>
      </c>
      <c r="H48">
        <f>_xll.BDP("AVB UN Equity","CHG_PCT_1M_RT")</f>
        <v>-2.8919999999999999</v>
      </c>
      <c r="I48">
        <f>_xll.BDP("AVB UN Equity","CHG_PCT_3M_RT")</f>
        <v>0.66520000000000001</v>
      </c>
      <c r="J48">
        <f>_xll.BDP("AVB UN Equity","CHG_PCT_YTD_RT")</f>
        <v>21.2424</v>
      </c>
    </row>
    <row r="49" spans="1:10" x14ac:dyDescent="0.25">
      <c r="A49" t="s">
        <v>56</v>
      </c>
      <c r="B49">
        <f>_xll.BDP("AVGO UW Equity","LAST_PRICE")</f>
        <v>178.94</v>
      </c>
      <c r="C49">
        <f>_xll.BDP("AVGO UW Equity","LAST_PRICE")</f>
        <v>178.94</v>
      </c>
      <c r="D49">
        <f>_xll.BDP("AVGO UW Equity","LAST_PRICE")</f>
        <v>178.94</v>
      </c>
      <c r="E49">
        <f>_xll.BDP("AVGO UW Equity","LAST_PRICE")</f>
        <v>178.94</v>
      </c>
      <c r="F49">
        <f>_xll.BDP("AVGO UW Equity","RT_PX_CHG_PCT_1D")</f>
        <v>-0.32859998941421509</v>
      </c>
      <c r="G49">
        <f>_xll.BDP("AVGO UW Equity","REALTIME_5_DAY_CHANGE_PERCENT")</f>
        <v>7.4649999999999999</v>
      </c>
      <c r="H49">
        <f>_xll.BDP("AVGO UW Equity","CHG_PCT_1M_RT")</f>
        <v>-2.5594000000000001</v>
      </c>
      <c r="I49">
        <f>_xll.BDP("AVGO UW Equity","CHG_PCT_3M_RT")</f>
        <v>27.07</v>
      </c>
      <c r="J49">
        <f>_xll.BDP("AVGO UW Equity","CHG_PCT_YTD_RT")</f>
        <v>60.304600000000001</v>
      </c>
    </row>
    <row r="50" spans="1:10" x14ac:dyDescent="0.25">
      <c r="A50" t="s">
        <v>57</v>
      </c>
      <c r="B50">
        <f>_xll.BDP("AVY UN Equity","LAST_PRICE")</f>
        <v>204.04</v>
      </c>
      <c r="C50">
        <f>_xll.BDP("AVY UN Equity","LAST_PRICE")</f>
        <v>204.04</v>
      </c>
      <c r="D50">
        <f>_xll.BDP("AVY UN Equity","LAST_PRICE")</f>
        <v>204.04</v>
      </c>
      <c r="E50">
        <f>_xll.BDP("AVY UN Equity","LAST_PRICE")</f>
        <v>204.04</v>
      </c>
      <c r="F50">
        <f>_xll.BDP("AVY UN Equity","RT_PX_CHG_PCT_1D")</f>
        <v>0.76050001382827759</v>
      </c>
      <c r="G50">
        <f>_xll.BDP("AVY UN Equity","REALTIME_5_DAY_CHANGE_PERCENT")</f>
        <v>-1.0186999999999999</v>
      </c>
      <c r="H50">
        <f>_xll.BDP("AVY UN Equity","CHG_PCT_1M_RT")</f>
        <v>-0.52170000000000005</v>
      </c>
      <c r="I50">
        <f>_xll.BDP("AVY UN Equity","CHG_PCT_3M_RT")</f>
        <v>-7.0770999999999997</v>
      </c>
      <c r="J50">
        <f>_xll.BDP("AVY UN Equity","CHG_PCT_YTD_RT")</f>
        <v>0.93</v>
      </c>
    </row>
    <row r="51" spans="1:10" x14ac:dyDescent="0.25">
      <c r="A51" t="s">
        <v>58</v>
      </c>
      <c r="B51">
        <f>_xll.BDP("AWK UN Equity","LAST_PRICE")</f>
        <v>130.72</v>
      </c>
      <c r="C51">
        <f>_xll.BDP("AWK UN Equity","LAST_PRICE")</f>
        <v>130.72</v>
      </c>
      <c r="D51">
        <f>_xll.BDP("AWK UN Equity","LAST_PRICE")</f>
        <v>130.72</v>
      </c>
      <c r="E51">
        <f>_xll.BDP("AWK UN Equity","LAST_PRICE")</f>
        <v>130.72</v>
      </c>
      <c r="F51">
        <f>_xll.BDP("AWK UN Equity","RT_PX_CHG_PCT_1D")</f>
        <v>-1.2465000152587891</v>
      </c>
      <c r="G51">
        <f>_xll.BDP("AWK UN Equity","REALTIME_5_DAY_CHANGE_PERCENT")</f>
        <v>-3.5988000000000002</v>
      </c>
      <c r="H51">
        <f>_xll.BDP("AWK UN Equity","CHG_PCT_1M_RT")</f>
        <v>-3.9459</v>
      </c>
      <c r="I51">
        <f>_xll.BDP("AWK UN Equity","CHG_PCT_3M_RT")</f>
        <v>-10.4719</v>
      </c>
      <c r="J51">
        <f>_xll.BDP("AWK UN Equity","CHG_PCT_YTD_RT")</f>
        <v>-0.96220000000000006</v>
      </c>
    </row>
    <row r="52" spans="1:10" x14ac:dyDescent="0.25">
      <c r="A52" t="s">
        <v>59</v>
      </c>
      <c r="B52">
        <f>_xll.BDP("AXON UW Equity","LAST_PRICE")</f>
        <v>642.59</v>
      </c>
      <c r="C52">
        <f>_xll.BDP("AXON UW Equity","LAST_PRICE")</f>
        <v>642.59</v>
      </c>
      <c r="D52">
        <f>_xll.BDP("AXON UW Equity","LAST_PRICE")</f>
        <v>642.59</v>
      </c>
      <c r="E52">
        <f>_xll.BDP("AXON UW Equity","LAST_PRICE")</f>
        <v>642.59</v>
      </c>
      <c r="F52">
        <f>_xll.BDP("AXON UW Equity","RT_PX_CHG_PCT_1D")</f>
        <v>-6.5581998825073242</v>
      </c>
      <c r="G52">
        <f>_xll.BDP("AXON UW Equity","REALTIME_5_DAY_CHANGE_PERCENT")</f>
        <v>0.97419999999999995</v>
      </c>
      <c r="H52">
        <f>_xll.BDP("AXON UW Equity","CHG_PCT_1M_RT")</f>
        <v>6.5336999999999996</v>
      </c>
      <c r="I52">
        <f>_xll.BDP("AXON UW Equity","CHG_PCT_3M_RT")</f>
        <v>76.346800000000002</v>
      </c>
      <c r="J52">
        <f>_xll.BDP("AXON UW Equity","CHG_PCT_YTD_RT")</f>
        <v>148.74770000000001</v>
      </c>
    </row>
    <row r="53" spans="1:10" x14ac:dyDescent="0.25">
      <c r="A53" t="s">
        <v>60</v>
      </c>
      <c r="B53">
        <f>_xll.BDP("AXP UN Equity","LAST_PRICE")</f>
        <v>296.72000000000003</v>
      </c>
      <c r="C53">
        <f>_xll.BDP("AXP UN Equity","LAST_PRICE")</f>
        <v>296.72000000000003</v>
      </c>
      <c r="D53">
        <f>_xll.BDP("AXP UN Equity","LAST_PRICE")</f>
        <v>296.72000000000003</v>
      </c>
      <c r="E53">
        <f>_xll.BDP("AXP UN Equity","LAST_PRICE")</f>
        <v>296.72000000000003</v>
      </c>
      <c r="F53">
        <f>_xll.BDP("AXP UN Equity","RT_PX_CHG_PCT_1D")</f>
        <v>-2.3914999961853027</v>
      </c>
      <c r="G53">
        <f>_xll.BDP("AXP UN Equity","REALTIME_5_DAY_CHANGE_PERCENT")</f>
        <v>-1.8329</v>
      </c>
      <c r="H53">
        <f>_xll.BDP("AXP UN Equity","CHG_PCT_1M_RT")</f>
        <v>3.1711</v>
      </c>
      <c r="I53">
        <f>_xll.BDP("AXP UN Equity","CHG_PCT_3M_RT")</f>
        <v>18.252800000000001</v>
      </c>
      <c r="J53">
        <f>_xll.BDP("AXP UN Equity","CHG_PCT_YTD_RT")</f>
        <v>58.385800000000003</v>
      </c>
    </row>
    <row r="54" spans="1:10" x14ac:dyDescent="0.25">
      <c r="A54" t="s">
        <v>61</v>
      </c>
      <c r="B54">
        <f>_xll.BDP("AZO UN Equity","LAST_PRICE")</f>
        <v>3324.01</v>
      </c>
      <c r="C54">
        <f>_xll.BDP("AZO UN Equity","LAST_PRICE")</f>
        <v>3324.01</v>
      </c>
      <c r="D54">
        <f>_xll.BDP("AZO UN Equity","LAST_PRICE")</f>
        <v>3324.01</v>
      </c>
      <c r="E54">
        <f>_xll.BDP("AZO UN Equity","LAST_PRICE")</f>
        <v>3324.01</v>
      </c>
      <c r="F54">
        <f>_xll.BDP("AZO UN Equity","RT_PX_CHG_PCT_1D")</f>
        <v>0.44029998779296875</v>
      </c>
      <c r="G54">
        <f>_xll.BDP("AZO UN Equity","REALTIME_5_DAY_CHANGE_PERCENT")</f>
        <v>4.5444000000000004</v>
      </c>
      <c r="H54">
        <f>_xll.BDP("AZO UN Equity","CHG_PCT_1M_RT")</f>
        <v>6.8772000000000002</v>
      </c>
      <c r="I54">
        <f>_xll.BDP("AZO UN Equity","CHG_PCT_3M_RT")</f>
        <v>6.5217000000000001</v>
      </c>
      <c r="J54">
        <f>_xll.BDP("AZO UN Equity","CHG_PCT_YTD_RT")</f>
        <v>28.5581</v>
      </c>
    </row>
    <row r="55" spans="1:10" x14ac:dyDescent="0.25">
      <c r="A55" t="s">
        <v>62</v>
      </c>
      <c r="B55">
        <f>_xll.BDP("BA UN Equity","LAST_PRICE")</f>
        <v>157.04</v>
      </c>
      <c r="C55">
        <f>_xll.BDP("BA UN Equity","LAST_PRICE")</f>
        <v>157.04</v>
      </c>
      <c r="D55">
        <f>_xll.BDP("BA UN Equity","LAST_PRICE")</f>
        <v>157.04</v>
      </c>
      <c r="E55">
        <f>_xll.BDP("BA UN Equity","LAST_PRICE")</f>
        <v>157.04</v>
      </c>
      <c r="F55">
        <f>_xll.BDP("BA UN Equity","RT_PX_CHG_PCT_1D")</f>
        <v>2.0204000473022461</v>
      </c>
      <c r="G55">
        <f>_xll.BDP("BA UN Equity","REALTIME_5_DAY_CHANGE_PERCENT")</f>
        <v>0.31940000000000002</v>
      </c>
      <c r="H55">
        <f>_xll.BDP("BA UN Equity","CHG_PCT_1M_RT")</f>
        <v>3.5337999999999998</v>
      </c>
      <c r="I55">
        <f>_xll.BDP("BA UN Equity","CHG_PCT_3M_RT")</f>
        <v>-3.6032000000000002</v>
      </c>
      <c r="J55">
        <f>_xll.BDP("BA UN Equity","CHG_PCT_YTD_RT")</f>
        <v>-39.752899999999997</v>
      </c>
    </row>
    <row r="56" spans="1:10" x14ac:dyDescent="0.25">
      <c r="A56" t="s">
        <v>63</v>
      </c>
      <c r="B56">
        <f>_xll.BDP("BAC UN Equity","LAST_PRICE")</f>
        <v>45.91</v>
      </c>
      <c r="C56">
        <f>_xll.BDP("BAC UN Equity","LAST_PRICE")</f>
        <v>45.91</v>
      </c>
      <c r="D56">
        <f>_xll.BDP("BAC UN Equity","LAST_PRICE")</f>
        <v>45.91</v>
      </c>
      <c r="E56">
        <f>_xll.BDP("BAC UN Equity","LAST_PRICE")</f>
        <v>45.91</v>
      </c>
      <c r="F56">
        <f>_xll.BDP("BAC UN Equity","RT_PX_CHG_PCT_1D")</f>
        <v>-1.7968000173568726</v>
      </c>
      <c r="G56">
        <f>_xll.BDP("BAC UN Equity","REALTIME_5_DAY_CHANGE_PERCENT")</f>
        <v>-2.4022000000000001</v>
      </c>
      <c r="H56">
        <f>_xll.BDP("BAC UN Equity","CHG_PCT_1M_RT")</f>
        <v>1.7282999999999999</v>
      </c>
      <c r="I56">
        <f>_xll.BDP("BAC UN Equity","CHG_PCT_3M_RT")</f>
        <v>16.316199999999998</v>
      </c>
      <c r="J56">
        <f>_xll.BDP("BAC UN Equity","CHG_PCT_YTD_RT")</f>
        <v>36.352800000000002</v>
      </c>
    </row>
    <row r="57" spans="1:10" x14ac:dyDescent="0.25">
      <c r="A57" t="s">
        <v>64</v>
      </c>
      <c r="B57">
        <f>_xll.BDP("BALL UN Equity","LAST_PRICE")</f>
        <v>57.67</v>
      </c>
      <c r="C57">
        <f>_xll.BDP("BALL UN Equity","LAST_PRICE")</f>
        <v>57.67</v>
      </c>
      <c r="D57">
        <f>_xll.BDP("BALL UN Equity","LAST_PRICE")</f>
        <v>57.67</v>
      </c>
      <c r="E57">
        <f>_xll.BDP("BALL UN Equity","LAST_PRICE")</f>
        <v>57.67</v>
      </c>
      <c r="F57">
        <f>_xll.BDP("BALL UN Equity","RT_PX_CHG_PCT_1D")</f>
        <v>0.98059999942779541</v>
      </c>
      <c r="G57">
        <f>_xll.BDP("BALL UN Equity","REALTIME_5_DAY_CHANGE_PERCENT")</f>
        <v>-8.2126000000000001</v>
      </c>
      <c r="H57">
        <f>_xll.BDP("BALL UN Equity","CHG_PCT_1M_RT")</f>
        <v>-4.298</v>
      </c>
      <c r="I57">
        <f>_xll.BDP("BALL UN Equity","CHG_PCT_3M_RT")</f>
        <v>-10.2971</v>
      </c>
      <c r="J57">
        <f>_xll.BDP("BALL UN Equity","CHG_PCT_YTD_RT")</f>
        <v>0.26079999999999998</v>
      </c>
    </row>
    <row r="58" spans="1:10" x14ac:dyDescent="0.25">
      <c r="A58" t="s">
        <v>65</v>
      </c>
      <c r="B58">
        <f>_xll.BDP("BAX UN Equity","LAST_PRICE")</f>
        <v>31.85</v>
      </c>
      <c r="C58">
        <f>_xll.BDP("BAX UN Equity","LAST_PRICE")</f>
        <v>31.85</v>
      </c>
      <c r="D58">
        <f>_xll.BDP("BAX UN Equity","LAST_PRICE")</f>
        <v>31.85</v>
      </c>
      <c r="E58">
        <f>_xll.BDP("BAX UN Equity","LAST_PRICE")</f>
        <v>31.85</v>
      </c>
      <c r="F58">
        <f>_xll.BDP("BAX UN Equity","RT_PX_CHG_PCT_1D")</f>
        <v>0.15719999372959137</v>
      </c>
      <c r="G58">
        <f>_xll.BDP("BAX UN Equity","REALTIME_5_DAY_CHANGE_PERCENT")</f>
        <v>-5.0670999999999999</v>
      </c>
      <c r="H58">
        <f>_xll.BDP("BAX UN Equity","CHG_PCT_1M_RT")</f>
        <v>-8.0542999999999996</v>
      </c>
      <c r="I58">
        <f>_xll.BDP("BAX UN Equity","CHG_PCT_3M_RT")</f>
        <v>-18.812100000000001</v>
      </c>
      <c r="J58">
        <f>_xll.BDP("BAX UN Equity","CHG_PCT_YTD_RT")</f>
        <v>-17.615100000000002</v>
      </c>
    </row>
    <row r="59" spans="1:10" x14ac:dyDescent="0.25">
      <c r="A59" t="s">
        <v>66</v>
      </c>
      <c r="B59">
        <f>_xll.BDP("BBY UN Equity","LAST_PRICE")</f>
        <v>87.32</v>
      </c>
      <c r="C59">
        <f>_xll.BDP("BBY UN Equity","LAST_PRICE")</f>
        <v>87.32</v>
      </c>
      <c r="D59">
        <f>_xll.BDP("BBY UN Equity","LAST_PRICE")</f>
        <v>87.32</v>
      </c>
      <c r="E59">
        <f>_xll.BDP("BBY UN Equity","LAST_PRICE")</f>
        <v>87.32</v>
      </c>
      <c r="F59">
        <f>_xll.BDP("BBY UN Equity","RT_PX_CHG_PCT_1D")</f>
        <v>-0.96399998664855957</v>
      </c>
      <c r="G59">
        <f>_xll.BDP("BBY UN Equity","REALTIME_5_DAY_CHANGE_PERCENT")</f>
        <v>-3.9701</v>
      </c>
      <c r="H59">
        <f>_xll.BDP("BBY UN Equity","CHG_PCT_1M_RT")</f>
        <v>-2.1076000000000001</v>
      </c>
      <c r="I59">
        <f>_xll.BDP("BBY UN Equity","CHG_PCT_3M_RT")</f>
        <v>-10.979699999999999</v>
      </c>
      <c r="J59">
        <f>_xll.BDP("BBY UN Equity","CHG_PCT_YTD_RT")</f>
        <v>11.548299999999999</v>
      </c>
    </row>
    <row r="60" spans="1:10" x14ac:dyDescent="0.25">
      <c r="A60" t="s">
        <v>67</v>
      </c>
      <c r="B60">
        <f>_xll.BDP("BDX UN Equity","LAST_PRICE")</f>
        <v>223.01</v>
      </c>
      <c r="C60">
        <f>_xll.BDP("BDX UN Equity","LAST_PRICE")</f>
        <v>223.01</v>
      </c>
      <c r="D60">
        <f>_xll.BDP("BDX UN Equity","LAST_PRICE")</f>
        <v>223.01</v>
      </c>
      <c r="E60">
        <f>_xll.BDP("BDX UN Equity","LAST_PRICE")</f>
        <v>223.01</v>
      </c>
      <c r="F60">
        <f>_xll.BDP("BDX UN Equity","RT_PX_CHG_PCT_1D")</f>
        <v>1.8403999805450439</v>
      </c>
      <c r="G60">
        <f>_xll.BDP("BDX UN Equity","REALTIME_5_DAY_CHANGE_PERCENT")</f>
        <v>8.5300000000000001E-2</v>
      </c>
      <c r="H60">
        <f>_xll.BDP("BDX UN Equity","CHG_PCT_1M_RT")</f>
        <v>-3.7256</v>
      </c>
      <c r="I60">
        <f>_xll.BDP("BDX UN Equity","CHG_PCT_3M_RT")</f>
        <v>-5.9901999999999997</v>
      </c>
      <c r="J60">
        <f>_xll.BDP("BDX UN Equity","CHG_PCT_YTD_RT")</f>
        <v>-8.5387000000000004</v>
      </c>
    </row>
    <row r="61" spans="1:10" x14ac:dyDescent="0.25">
      <c r="A61" t="s">
        <v>68</v>
      </c>
      <c r="B61">
        <f>_xll.BDP("BEN UN Equity","LAST_PRICE")</f>
        <v>22.3</v>
      </c>
      <c r="C61">
        <f>_xll.BDP("BEN UN Equity","LAST_PRICE")</f>
        <v>22.3</v>
      </c>
      <c r="D61">
        <f>_xll.BDP("BEN UN Equity","LAST_PRICE")</f>
        <v>22.3</v>
      </c>
      <c r="E61">
        <f>_xll.BDP("BEN UN Equity","LAST_PRICE")</f>
        <v>22.3</v>
      </c>
      <c r="F61">
        <f>_xll.BDP("BEN UN Equity","RT_PX_CHG_PCT_1D")</f>
        <v>1.7336000204086304</v>
      </c>
      <c r="G61">
        <f>_xll.BDP("BEN UN Equity","REALTIME_5_DAY_CHANGE_PERCENT")</f>
        <v>-1.2838000000000001</v>
      </c>
      <c r="H61">
        <f>_xll.BDP("BEN UN Equity","CHG_PCT_1M_RT")</f>
        <v>5.9885999999999999</v>
      </c>
      <c r="I61">
        <f>_xll.BDP("BEN UN Equity","CHG_PCT_3M_RT")</f>
        <v>14.0665</v>
      </c>
      <c r="J61">
        <f>_xll.BDP("BEN UN Equity","CHG_PCT_YTD_RT")</f>
        <v>-25.142700000000001</v>
      </c>
    </row>
    <row r="62" spans="1:10" x14ac:dyDescent="0.25">
      <c r="A62" t="s">
        <v>69</v>
      </c>
      <c r="B62">
        <f>_xll.BDP("BF/B UN Equity","LAST_PRICE")</f>
        <v>45.22</v>
      </c>
      <c r="C62">
        <f>_xll.BDP("BF/B UN Equity","LAST_PRICE")</f>
        <v>45.22</v>
      </c>
      <c r="D62">
        <f>_xll.BDP("BF/B UN Equity","LAST_PRICE")</f>
        <v>45.22</v>
      </c>
      <c r="E62">
        <f>_xll.BDP("BF/B UN Equity","LAST_PRICE")</f>
        <v>45.22</v>
      </c>
      <c r="F62">
        <f>_xll.BDP("BF/B UN Equity","RT_PX_CHG_PCT_1D")</f>
        <v>1.8238999843597412</v>
      </c>
      <c r="G62">
        <f>_xll.BDP("BF/B UN Equity","REALTIME_5_DAY_CHANGE_PERCENT")</f>
        <v>7.2072000000000003</v>
      </c>
      <c r="H62">
        <f>_xll.BDP("BF/B UN Equity","CHG_PCT_1M_RT")</f>
        <v>10.914899999999999</v>
      </c>
      <c r="I62">
        <f>_xll.BDP("BF/B UN Equity","CHG_PCT_3M_RT")</f>
        <v>-2.4169</v>
      </c>
      <c r="J62">
        <f>_xll.BDP("BF/B UN Equity","CHG_PCT_YTD_RT")</f>
        <v>-20.805599999999998</v>
      </c>
    </row>
    <row r="63" spans="1:10" x14ac:dyDescent="0.25">
      <c r="A63" t="s">
        <v>70</v>
      </c>
      <c r="B63">
        <f>_xll.BDP("BG UN Equity","LAST_PRICE")</f>
        <v>85.5</v>
      </c>
      <c r="C63">
        <f>_xll.BDP("BG UN Equity","LAST_PRICE")</f>
        <v>85.5</v>
      </c>
      <c r="D63">
        <f>_xll.BDP("BG UN Equity","LAST_PRICE")</f>
        <v>85.5</v>
      </c>
      <c r="E63">
        <f>_xll.BDP("BG UN Equity","LAST_PRICE")</f>
        <v>85.5</v>
      </c>
      <c r="F63">
        <f>_xll.BDP("BG UN Equity","RT_PX_CHG_PCT_1D")</f>
        <v>1.7856999635696411</v>
      </c>
      <c r="G63">
        <f>_xll.BDP("BG UN Equity","REALTIME_5_DAY_CHANGE_PERCENT")</f>
        <v>-4.0296000000000003</v>
      </c>
      <c r="H63">
        <f>_xll.BDP("BG UN Equity","CHG_PCT_1M_RT")</f>
        <v>-1.8594999999999999</v>
      </c>
      <c r="I63">
        <f>_xll.BDP("BG UN Equity","CHG_PCT_3M_RT")</f>
        <v>-13.5665</v>
      </c>
      <c r="J63">
        <f>_xll.BDP("BG UN Equity","CHG_PCT_YTD_RT")</f>
        <v>-15.304600000000001</v>
      </c>
    </row>
    <row r="64" spans="1:10" x14ac:dyDescent="0.25">
      <c r="A64" t="s">
        <v>71</v>
      </c>
      <c r="B64">
        <f>_xll.BDP("BIIB UW Equity","LAST_PRICE")</f>
        <v>156.46</v>
      </c>
      <c r="C64">
        <f>_xll.BDP("BIIB UW Equity","LAST_PRICE")</f>
        <v>156.46</v>
      </c>
      <c r="D64">
        <f>_xll.BDP("BIIB UW Equity","LAST_PRICE")</f>
        <v>156.46</v>
      </c>
      <c r="E64">
        <f>_xll.BDP("BIIB UW Equity","LAST_PRICE")</f>
        <v>156.46</v>
      </c>
      <c r="F64">
        <f>_xll.BDP("BIIB UW Equity","RT_PX_CHG_PCT_1D")</f>
        <v>-0.83660000562667847</v>
      </c>
      <c r="G64">
        <f>_xll.BDP("BIIB UW Equity","REALTIME_5_DAY_CHANGE_PERCENT")</f>
        <v>-4.7312000000000003</v>
      </c>
      <c r="H64">
        <f>_xll.BDP("BIIB UW Equity","CHG_PCT_1M_RT")</f>
        <v>-9.5815999999999999</v>
      </c>
      <c r="I64">
        <f>_xll.BDP("BIIB UW Equity","CHG_PCT_3M_RT")</f>
        <v>-21.4834</v>
      </c>
      <c r="J64">
        <f>_xll.BDP("BIIB UW Equity","CHG_PCT_YTD_RT")</f>
        <v>-39.536999999999999</v>
      </c>
    </row>
    <row r="65" spans="1:10" x14ac:dyDescent="0.25">
      <c r="A65" t="s">
        <v>72</v>
      </c>
      <c r="B65">
        <f>_xll.BDP("BK UN Equity","LAST_PRICE")</f>
        <v>80.61</v>
      </c>
      <c r="C65">
        <f>_xll.BDP("BK UN Equity","LAST_PRICE")</f>
        <v>80.61</v>
      </c>
      <c r="D65">
        <f>_xll.BDP("BK UN Equity","LAST_PRICE")</f>
        <v>80.61</v>
      </c>
      <c r="E65">
        <f>_xll.BDP("BK UN Equity","LAST_PRICE")</f>
        <v>80.61</v>
      </c>
      <c r="F65">
        <f>_xll.BDP("BK UN Equity","RT_PX_CHG_PCT_1D")</f>
        <v>0.1242000013589859</v>
      </c>
      <c r="G65">
        <f>_xll.BDP("BK UN Equity","REALTIME_5_DAY_CHANGE_PERCENT")</f>
        <v>-0.61639999999999995</v>
      </c>
      <c r="H65">
        <f>_xll.BDP("BK UN Equity","CHG_PCT_1M_RT")</f>
        <v>4.6067999999999998</v>
      </c>
      <c r="I65">
        <f>_xll.BDP("BK UN Equity","CHG_PCT_3M_RT")</f>
        <v>19.034300000000002</v>
      </c>
      <c r="J65">
        <f>_xll.BDP("BK UN Equity","CHG_PCT_YTD_RT")</f>
        <v>54.8703</v>
      </c>
    </row>
    <row r="66" spans="1:10" x14ac:dyDescent="0.25">
      <c r="A66" t="s">
        <v>73</v>
      </c>
      <c r="B66">
        <f>_xll.BDP("BKNG UW Equity","LAST_PRICE")</f>
        <v>5149.6000000000004</v>
      </c>
      <c r="C66">
        <f>_xll.BDP("BKNG UW Equity","LAST_PRICE")</f>
        <v>5149.6000000000004</v>
      </c>
      <c r="D66">
        <f>_xll.BDP("BKNG UW Equity","LAST_PRICE")</f>
        <v>5149.6000000000004</v>
      </c>
      <c r="E66">
        <f>_xll.BDP("BKNG UW Equity","LAST_PRICE")</f>
        <v>5149.6000000000004</v>
      </c>
      <c r="F66">
        <f>_xll.BDP("BKNG UW Equity","RT_PX_CHG_PCT_1D")</f>
        <v>-2.8440001010894775</v>
      </c>
      <c r="G66">
        <f>_xll.BDP("BKNG UW Equity","REALTIME_5_DAY_CHANGE_PERCENT")</f>
        <v>-1.4295</v>
      </c>
      <c r="H66">
        <f>_xll.BDP("BKNG UW Equity","CHG_PCT_1M_RT")</f>
        <v>4.1740000000000004</v>
      </c>
      <c r="I66">
        <f>_xll.BDP("BKNG UW Equity","CHG_PCT_3M_RT")</f>
        <v>35.412799999999997</v>
      </c>
      <c r="J66">
        <f>_xll.BDP("BKNG UW Equity","CHG_PCT_YTD_RT")</f>
        <v>45.172800000000002</v>
      </c>
    </row>
    <row r="67" spans="1:10" x14ac:dyDescent="0.25">
      <c r="A67" t="s">
        <v>74</v>
      </c>
      <c r="B67">
        <f>_xll.BDP("BKR UW Equity","LAST_PRICE")</f>
        <v>41.43</v>
      </c>
      <c r="C67">
        <f>_xll.BDP("BKR UW Equity","LAST_PRICE")</f>
        <v>41.43</v>
      </c>
      <c r="D67">
        <f>_xll.BDP("BKR UW Equity","LAST_PRICE")</f>
        <v>41.43</v>
      </c>
      <c r="E67">
        <f>_xll.BDP("BKR UW Equity","LAST_PRICE")</f>
        <v>41.43</v>
      </c>
      <c r="F67">
        <f>_xll.BDP("BKR UW Equity","RT_PX_CHG_PCT_1D")</f>
        <v>0.2904999852180481</v>
      </c>
      <c r="G67">
        <f>_xll.BDP("BKR UW Equity","REALTIME_5_DAY_CHANGE_PERCENT")</f>
        <v>-5.1727999999999996</v>
      </c>
      <c r="H67">
        <f>_xll.BDP("BKR UW Equity","CHG_PCT_1M_RT")</f>
        <v>-3.6848000000000001</v>
      </c>
      <c r="I67">
        <f>_xll.BDP("BKR UW Equity","CHG_PCT_3M_RT")</f>
        <v>22.9742</v>
      </c>
      <c r="J67">
        <f>_xll.BDP("BKR UW Equity","CHG_PCT_YTD_RT")</f>
        <v>21.211200000000002</v>
      </c>
    </row>
    <row r="68" spans="1:10" x14ac:dyDescent="0.25">
      <c r="A68" t="s">
        <v>75</v>
      </c>
      <c r="B68">
        <f>_xll.BDP("BLDR UN Equity","LAST_PRICE")</f>
        <v>176.89</v>
      </c>
      <c r="C68">
        <f>_xll.BDP("BLDR UN Equity","LAST_PRICE")</f>
        <v>176.89</v>
      </c>
      <c r="D68">
        <f>_xll.BDP("BLDR UN Equity","LAST_PRICE")</f>
        <v>176.89</v>
      </c>
      <c r="E68">
        <f>_xll.BDP("BLDR UN Equity","LAST_PRICE")</f>
        <v>176.89</v>
      </c>
      <c r="F68">
        <f>_xll.BDP("BLDR UN Equity","RT_PX_CHG_PCT_1D")</f>
        <v>0.60860002040863037</v>
      </c>
      <c r="G68">
        <f>_xll.BDP("BLDR UN Equity","REALTIME_5_DAY_CHANGE_PERCENT")</f>
        <v>-4.2907000000000002</v>
      </c>
      <c r="H68">
        <f>_xll.BDP("BLDR UN Equity","CHG_PCT_1M_RT")</f>
        <v>-0.81859999999999999</v>
      </c>
      <c r="I68">
        <f>_xll.BDP("BLDR UN Equity","CHG_PCT_3M_RT")</f>
        <v>6.4576000000000002</v>
      </c>
      <c r="J68">
        <f>_xll.BDP("BLDR UN Equity","CHG_PCT_YTD_RT")</f>
        <v>5.9602000000000004</v>
      </c>
    </row>
    <row r="69" spans="1:10" x14ac:dyDescent="0.25">
      <c r="A69" t="s">
        <v>76</v>
      </c>
      <c r="B69">
        <f>_xll.BDP("BLK UN Equity","LAST_PRICE")</f>
        <v>1046.3800000000001</v>
      </c>
      <c r="C69">
        <f>_xll.BDP("BLK UN Equity","LAST_PRICE")</f>
        <v>1046.3800000000001</v>
      </c>
      <c r="D69">
        <f>_xll.BDP("BLK UN Equity","LAST_PRICE")</f>
        <v>1046.3800000000001</v>
      </c>
      <c r="E69">
        <f>_xll.BDP("BLK UN Equity","LAST_PRICE")</f>
        <v>1046.3800000000001</v>
      </c>
      <c r="F69">
        <f>_xll.BDP("BLK UN Equity","RT_PX_CHG_PCT_1D")</f>
        <v>0.33660000562667847</v>
      </c>
      <c r="G69">
        <f>_xll.BDP("BLK UN Equity","REALTIME_5_DAY_CHANGE_PERCENT")</f>
        <v>2.5752000000000002</v>
      </c>
      <c r="H69">
        <f>_xll.BDP("BLK UN Equity","CHG_PCT_1M_RT")</f>
        <v>0.68320000000000003</v>
      </c>
      <c r="I69">
        <f>_xll.BDP("BLK UN Equity","CHG_PCT_3M_RT")</f>
        <v>19.1858</v>
      </c>
      <c r="J69">
        <f>_xll.BDP("BLK UN Equity","CHG_PCT_YTD_RT")</f>
        <v>28.8963</v>
      </c>
    </row>
    <row r="70" spans="1:10" x14ac:dyDescent="0.25">
      <c r="A70" t="s">
        <v>77</v>
      </c>
      <c r="B70">
        <f>_xll.BDP("BMY UN Equity","LAST_PRICE")</f>
        <v>58.71</v>
      </c>
      <c r="C70">
        <f>_xll.BDP("BMY UN Equity","LAST_PRICE")</f>
        <v>58.71</v>
      </c>
      <c r="D70">
        <f>_xll.BDP("BMY UN Equity","LAST_PRICE")</f>
        <v>58.71</v>
      </c>
      <c r="E70">
        <f>_xll.BDP("BMY UN Equity","LAST_PRICE")</f>
        <v>58.71</v>
      </c>
      <c r="F70">
        <f>_xll.BDP("BMY UN Equity","RT_PX_CHG_PCT_1D")</f>
        <v>-1.1282999515533447</v>
      </c>
      <c r="G70">
        <f>_xll.BDP("BMY UN Equity","REALTIME_5_DAY_CHANGE_PERCENT")</f>
        <v>-2.0520999999999998</v>
      </c>
      <c r="H70">
        <f>_xll.BDP("BMY UN Equity","CHG_PCT_1M_RT")</f>
        <v>8.4411000000000005</v>
      </c>
      <c r="I70">
        <f>_xll.BDP("BMY UN Equity","CHG_PCT_3M_RT")</f>
        <v>21.051500000000001</v>
      </c>
      <c r="J70">
        <f>_xll.BDP("BMY UN Equity","CHG_PCT_YTD_RT")</f>
        <v>14.4221</v>
      </c>
    </row>
    <row r="71" spans="1:10" x14ac:dyDescent="0.25">
      <c r="A71" t="s">
        <v>78</v>
      </c>
      <c r="B71">
        <f>_xll.BDP("BR UN Equity","LAST_PRICE")</f>
        <v>233.57</v>
      </c>
      <c r="C71">
        <f>_xll.BDP("BR UN Equity","LAST_PRICE")</f>
        <v>233.57</v>
      </c>
      <c r="D71">
        <f>_xll.BDP("BR UN Equity","LAST_PRICE")</f>
        <v>233.57</v>
      </c>
      <c r="E71">
        <f>_xll.BDP("BR UN Equity","LAST_PRICE")</f>
        <v>233.57</v>
      </c>
      <c r="F71">
        <f>_xll.BDP("BR UN Equity","RT_PX_CHG_PCT_1D")</f>
        <v>-0.79000002145767212</v>
      </c>
      <c r="G71">
        <f>_xll.BDP("BR UN Equity","REALTIME_5_DAY_CHANGE_PERCENT")</f>
        <v>-0.2903</v>
      </c>
      <c r="H71">
        <f>_xll.BDP("BR UN Equity","CHG_PCT_1M_RT")</f>
        <v>3.7121</v>
      </c>
      <c r="I71">
        <f>_xll.BDP("BR UN Equity","CHG_PCT_3M_RT")</f>
        <v>10.880599999999999</v>
      </c>
      <c r="J71">
        <f>_xll.BDP("BR UN Equity","CHG_PCT_YTD_RT")</f>
        <v>13.5213</v>
      </c>
    </row>
    <row r="72" spans="1:10" x14ac:dyDescent="0.25">
      <c r="A72" t="s">
        <v>79</v>
      </c>
      <c r="B72">
        <f>_xll.BDP("BRK/B UN Equity","LAST_PRICE")</f>
        <v>463.87</v>
      </c>
      <c r="C72">
        <f>_xll.BDP("BRK/B UN Equity","LAST_PRICE")</f>
        <v>463.87</v>
      </c>
      <c r="D72">
        <f>_xll.BDP("BRK/B UN Equity","LAST_PRICE")</f>
        <v>463.87</v>
      </c>
      <c r="E72">
        <f>_xll.BDP("BRK/B UN Equity","LAST_PRICE")</f>
        <v>463.87</v>
      </c>
      <c r="F72">
        <f>_xll.BDP("BRK/B UN Equity","RT_PX_CHG_PCT_1D")</f>
        <v>-1.4091000556945801</v>
      </c>
      <c r="G72">
        <f>_xll.BDP("BRK/B UN Equity","REALTIME_5_DAY_CHANGE_PERCENT")</f>
        <v>-2.8199000000000001</v>
      </c>
      <c r="H72">
        <f>_xll.BDP("BRK/B UN Equity","CHG_PCT_1M_RT")</f>
        <v>9.9299999999999999E-2</v>
      </c>
      <c r="I72">
        <f>_xll.BDP("BRK/B UN Equity","CHG_PCT_3M_RT")</f>
        <v>0.92689999999999995</v>
      </c>
      <c r="J72">
        <f>_xll.BDP("BRK/B UN Equity","CHG_PCT_YTD_RT")</f>
        <v>30.0594</v>
      </c>
    </row>
    <row r="73" spans="1:10" x14ac:dyDescent="0.25">
      <c r="A73" t="s">
        <v>80</v>
      </c>
      <c r="B73">
        <f>_xll.BDP("BRO UN Equity","LAST_PRICE")</f>
        <v>105.68</v>
      </c>
      <c r="C73">
        <f>_xll.BDP("BRO UN Equity","LAST_PRICE")</f>
        <v>105.68</v>
      </c>
      <c r="D73">
        <f>_xll.BDP("BRO UN Equity","LAST_PRICE")</f>
        <v>105.68</v>
      </c>
      <c r="E73">
        <f>_xll.BDP("BRO UN Equity","LAST_PRICE")</f>
        <v>105.68</v>
      </c>
      <c r="F73">
        <f>_xll.BDP("BRO UN Equity","RT_PX_CHG_PCT_1D")</f>
        <v>-3.2056999206542969</v>
      </c>
      <c r="G73">
        <f>_xll.BDP("BRO UN Equity","REALTIME_5_DAY_CHANGE_PERCENT")</f>
        <v>-5.3300999999999998</v>
      </c>
      <c r="H73">
        <f>_xll.BDP("BRO UN Equity","CHG_PCT_1M_RT")</f>
        <v>-6.0037000000000003</v>
      </c>
      <c r="I73">
        <f>_xll.BDP("BRO UN Equity","CHG_PCT_3M_RT")</f>
        <v>1.8896999999999999</v>
      </c>
      <c r="J73">
        <f>_xll.BDP("BRO UN Equity","CHG_PCT_YTD_RT")</f>
        <v>48.614800000000002</v>
      </c>
    </row>
    <row r="74" spans="1:10" x14ac:dyDescent="0.25">
      <c r="A74" t="s">
        <v>81</v>
      </c>
      <c r="B74">
        <f>_xll.BDP("BSX UN Equity","LAST_PRICE")</f>
        <v>88.72</v>
      </c>
      <c r="C74">
        <f>_xll.BDP("BSX UN Equity","LAST_PRICE")</f>
        <v>88.72</v>
      </c>
      <c r="D74">
        <f>_xll.BDP("BSX UN Equity","LAST_PRICE")</f>
        <v>88.72</v>
      </c>
      <c r="E74">
        <f>_xll.BDP("BSX UN Equity","LAST_PRICE")</f>
        <v>88.72</v>
      </c>
      <c r="F74">
        <f>_xll.BDP("BSX UN Equity","RT_PX_CHG_PCT_1D")</f>
        <v>-1.4988000392913818</v>
      </c>
      <c r="G74">
        <f>_xll.BDP("BSX UN Equity","REALTIME_5_DAY_CHANGE_PERCENT")</f>
        <v>-1.891</v>
      </c>
      <c r="H74">
        <f>_xll.BDP("BSX UN Equity","CHG_PCT_1M_RT")</f>
        <v>0.53259999999999996</v>
      </c>
      <c r="I74">
        <f>_xll.BDP("BSX UN Equity","CHG_PCT_3M_RT")</f>
        <v>7.3441999999999998</v>
      </c>
      <c r="J74">
        <f>_xll.BDP("BSX UN Equity","CHG_PCT_YTD_RT")</f>
        <v>53.468299999999999</v>
      </c>
    </row>
    <row r="75" spans="1:10" x14ac:dyDescent="0.25">
      <c r="A75" t="s">
        <v>82</v>
      </c>
      <c r="B75">
        <f>_xll.BDP("BWA UN Equity","LAST_PRICE")</f>
        <v>34.299999999999997</v>
      </c>
      <c r="C75">
        <f>_xll.BDP("BWA UN Equity","LAST_PRICE")</f>
        <v>34.299999999999997</v>
      </c>
      <c r="D75">
        <f>_xll.BDP("BWA UN Equity","LAST_PRICE")</f>
        <v>34.299999999999997</v>
      </c>
      <c r="E75">
        <f>_xll.BDP("BWA UN Equity","LAST_PRICE")</f>
        <v>34.299999999999997</v>
      </c>
      <c r="F75">
        <f>_xll.BDP("BWA UN Equity","RT_PX_CHG_PCT_1D")</f>
        <v>1.4793000221252441</v>
      </c>
      <c r="G75">
        <f>_xll.BDP("BWA UN Equity","REALTIME_5_DAY_CHANGE_PERCENT")</f>
        <v>-5.8299999999999998E-2</v>
      </c>
      <c r="H75">
        <f>_xll.BDP("BWA UN Equity","CHG_PCT_1M_RT")</f>
        <v>1.1203000000000001</v>
      </c>
      <c r="I75">
        <f>_xll.BDP("BWA UN Equity","CHG_PCT_3M_RT")</f>
        <v>4.3186999999999998</v>
      </c>
      <c r="J75">
        <f>_xll.BDP("BWA UN Equity","CHG_PCT_YTD_RT")</f>
        <v>-4.3235999999999999</v>
      </c>
    </row>
    <row r="76" spans="1:10" x14ac:dyDescent="0.25">
      <c r="A76" t="s">
        <v>83</v>
      </c>
      <c r="B76">
        <f>_xll.BDP("BX UN Equity","LAST_PRICE")</f>
        <v>185.35</v>
      </c>
      <c r="C76">
        <f>_xll.BDP("BX UN Equity","LAST_PRICE")</f>
        <v>185.35</v>
      </c>
      <c r="D76">
        <f>_xll.BDP("BX UN Equity","LAST_PRICE")</f>
        <v>185.35</v>
      </c>
      <c r="E76">
        <f>_xll.BDP("BX UN Equity","LAST_PRICE")</f>
        <v>185.35</v>
      </c>
      <c r="F76">
        <f>_xll.BDP("BX UN Equity","RT_PX_CHG_PCT_1D")</f>
        <v>-0.88239997625350952</v>
      </c>
      <c r="G76">
        <f>_xll.BDP("BX UN Equity","REALTIME_5_DAY_CHANGE_PERCENT")</f>
        <v>-0.90880000000000005</v>
      </c>
      <c r="H76">
        <f>_xll.BDP("BX UN Equity","CHG_PCT_1M_RT")</f>
        <v>4.4461000000000004</v>
      </c>
      <c r="I76">
        <f>_xll.BDP("BX UN Equity","CHG_PCT_3M_RT")</f>
        <v>32.610700000000001</v>
      </c>
      <c r="J76">
        <f>_xll.BDP("BX UN Equity","CHG_PCT_YTD_RT")</f>
        <v>41.575000000000003</v>
      </c>
    </row>
    <row r="77" spans="1:10" x14ac:dyDescent="0.25">
      <c r="A77" t="s">
        <v>84</v>
      </c>
      <c r="B77">
        <f>_xll.BDP("BXP UN Equity","LAST_PRICE")</f>
        <v>83.01</v>
      </c>
      <c r="C77">
        <f>_xll.BDP("BXP UN Equity","LAST_PRICE")</f>
        <v>83.01</v>
      </c>
      <c r="D77">
        <f>_xll.BDP("BXP UN Equity","LAST_PRICE")</f>
        <v>83.01</v>
      </c>
      <c r="E77">
        <f>_xll.BDP("BXP UN Equity","LAST_PRICE")</f>
        <v>83.01</v>
      </c>
      <c r="F77">
        <f>_xll.BDP("BXP UN Equity","RT_PX_CHG_PCT_1D")</f>
        <v>3.3234000205993652</v>
      </c>
      <c r="G77">
        <f>_xll.BDP("BXP UN Equity","REALTIME_5_DAY_CHANGE_PERCENT")</f>
        <v>2.6335000000000002</v>
      </c>
      <c r="H77">
        <f>_xll.BDP("BXP UN Equity","CHG_PCT_1M_RT")</f>
        <v>0.13270000000000001</v>
      </c>
      <c r="I77">
        <f>_xll.BDP("BXP UN Equity","CHG_PCT_3M_RT")</f>
        <v>11.7227</v>
      </c>
      <c r="J77">
        <f>_xll.BDP("BXP UN Equity","CHG_PCT_YTD_RT")</f>
        <v>18.298400000000001</v>
      </c>
    </row>
    <row r="78" spans="1:10" x14ac:dyDescent="0.25">
      <c r="A78" t="s">
        <v>85</v>
      </c>
      <c r="B78">
        <f>_xll.BDP("C UN Equity","LAST_PRICE")</f>
        <v>71.86</v>
      </c>
      <c r="C78">
        <f>_xll.BDP("C UN Equity","LAST_PRICE")</f>
        <v>71.86</v>
      </c>
      <c r="D78">
        <f>_xll.BDP("C UN Equity","LAST_PRICE")</f>
        <v>71.86</v>
      </c>
      <c r="E78">
        <f>_xll.BDP("C UN Equity","LAST_PRICE")</f>
        <v>71.86</v>
      </c>
      <c r="F78">
        <f>_xll.BDP("C UN Equity","RT_PX_CHG_PCT_1D")</f>
        <v>-0.40189999341964722</v>
      </c>
      <c r="G78">
        <f>_xll.BDP("C UN Equity","REALTIME_5_DAY_CHANGE_PERCENT")</f>
        <v>0.65839999999999999</v>
      </c>
      <c r="H78">
        <f>_xll.BDP("C UN Equity","CHG_PCT_1M_RT")</f>
        <v>4.7064000000000004</v>
      </c>
      <c r="I78">
        <f>_xll.BDP("C UN Equity","CHG_PCT_3M_RT")</f>
        <v>20.692</v>
      </c>
      <c r="J78">
        <f>_xll.BDP("C UN Equity","CHG_PCT_YTD_RT")</f>
        <v>39.6967</v>
      </c>
    </row>
    <row r="79" spans="1:10" x14ac:dyDescent="0.25">
      <c r="A79" t="s">
        <v>86</v>
      </c>
      <c r="B79">
        <f>_xll.BDP("CAG UN Equity","LAST_PRICE")</f>
        <v>27.74</v>
      </c>
      <c r="C79">
        <f>_xll.BDP("CAG UN Equity","LAST_PRICE")</f>
        <v>27.74</v>
      </c>
      <c r="D79">
        <f>_xll.BDP("CAG UN Equity","LAST_PRICE")</f>
        <v>27.74</v>
      </c>
      <c r="E79">
        <f>_xll.BDP("CAG UN Equity","LAST_PRICE")</f>
        <v>27.74</v>
      </c>
      <c r="F79">
        <f>_xll.BDP("CAG UN Equity","RT_PX_CHG_PCT_1D")</f>
        <v>1.8355000019073486</v>
      </c>
      <c r="G79">
        <f>_xll.BDP("CAG UN Equity","REALTIME_5_DAY_CHANGE_PERCENT")</f>
        <v>-0.28760000000000002</v>
      </c>
      <c r="H79">
        <f>_xll.BDP("CAG UN Equity","CHG_PCT_1M_RT")</f>
        <v>-2.4613</v>
      </c>
      <c r="I79">
        <f>_xll.BDP("CAG UN Equity","CHG_PCT_3M_RT")</f>
        <v>-15.504099999999999</v>
      </c>
      <c r="J79">
        <f>_xll.BDP("CAG UN Equity","CHG_PCT_YTD_RT")</f>
        <v>-3.21</v>
      </c>
    </row>
    <row r="80" spans="1:10" x14ac:dyDescent="0.25">
      <c r="A80" t="s">
        <v>87</v>
      </c>
      <c r="B80">
        <f>_xll.BDP("CAH UN Equity","LAST_PRICE")</f>
        <v>121.58</v>
      </c>
      <c r="C80">
        <f>_xll.BDP("CAH UN Equity","LAST_PRICE")</f>
        <v>121.58</v>
      </c>
      <c r="D80">
        <f>_xll.BDP("CAH UN Equity","LAST_PRICE")</f>
        <v>121.58</v>
      </c>
      <c r="E80">
        <f>_xll.BDP("CAH UN Equity","LAST_PRICE")</f>
        <v>121.58</v>
      </c>
      <c r="F80">
        <f>_xll.BDP("CAH UN Equity","RT_PX_CHG_PCT_1D")</f>
        <v>-0.96119999885559082</v>
      </c>
      <c r="G80">
        <f>_xll.BDP("CAH UN Equity","REALTIME_5_DAY_CHANGE_PERCENT")</f>
        <v>-0.72670000000000001</v>
      </c>
      <c r="H80">
        <f>_xll.BDP("CAH UN Equity","CHG_PCT_1M_RT")</f>
        <v>0.84609999999999996</v>
      </c>
      <c r="I80">
        <f>_xll.BDP("CAH UN Equity","CHG_PCT_3M_RT")</f>
        <v>7.7836999999999996</v>
      </c>
      <c r="J80">
        <f>_xll.BDP("CAH UN Equity","CHG_PCT_YTD_RT")</f>
        <v>20.615100000000002</v>
      </c>
    </row>
    <row r="81" spans="1:10" x14ac:dyDescent="0.25">
      <c r="A81" t="s">
        <v>88</v>
      </c>
      <c r="B81">
        <f>_xll.BDP("CARR UN Equity","LAST_PRICE")</f>
        <v>73.2</v>
      </c>
      <c r="C81">
        <f>_xll.BDP("CARR UN Equity","LAST_PRICE")</f>
        <v>73.2</v>
      </c>
      <c r="D81">
        <f>_xll.BDP("CARR UN Equity","LAST_PRICE")</f>
        <v>73.2</v>
      </c>
      <c r="E81">
        <f>_xll.BDP("CARR UN Equity","LAST_PRICE")</f>
        <v>73.2</v>
      </c>
      <c r="F81">
        <f>_xll.BDP("CARR UN Equity","RT_PX_CHG_PCT_1D")</f>
        <v>-0.6380000114440918</v>
      </c>
      <c r="G81">
        <f>_xll.BDP("CARR UN Equity","REALTIME_5_DAY_CHANGE_PERCENT")</f>
        <v>-4.0503</v>
      </c>
      <c r="H81">
        <f>_xll.BDP("CARR UN Equity","CHG_PCT_1M_RT")</f>
        <v>-4.5382999999999996</v>
      </c>
      <c r="I81">
        <f>_xll.BDP("CARR UN Equity","CHG_PCT_3M_RT")</f>
        <v>3.4922</v>
      </c>
      <c r="J81">
        <f>_xll.BDP("CARR UN Equity","CHG_PCT_YTD_RT")</f>
        <v>27.415099999999999</v>
      </c>
    </row>
    <row r="82" spans="1:10" x14ac:dyDescent="0.25">
      <c r="A82" t="s">
        <v>89</v>
      </c>
      <c r="B82">
        <f>_xll.BDP("CAT UN Equity","LAST_PRICE")</f>
        <v>399.26</v>
      </c>
      <c r="C82">
        <f>_xll.BDP("CAT UN Equity","LAST_PRICE")</f>
        <v>399.26</v>
      </c>
      <c r="D82">
        <f>_xll.BDP("CAT UN Equity","LAST_PRICE")</f>
        <v>399.26</v>
      </c>
      <c r="E82">
        <f>_xll.BDP("CAT UN Equity","LAST_PRICE")</f>
        <v>399.26</v>
      </c>
      <c r="F82">
        <f>_xll.BDP("CAT UN Equity","RT_PX_CHG_PCT_1D")</f>
        <v>1.0707999467849731</v>
      </c>
      <c r="G82">
        <f>_xll.BDP("CAT UN Equity","REALTIME_5_DAY_CHANGE_PERCENT")</f>
        <v>-0.80740000000000001</v>
      </c>
      <c r="H82">
        <f>_xll.BDP("CAT UN Equity","CHG_PCT_1M_RT")</f>
        <v>1.4973000000000001</v>
      </c>
      <c r="I82">
        <f>_xll.BDP("CAT UN Equity","CHG_PCT_3M_RT")</f>
        <v>19.5246</v>
      </c>
      <c r="J82">
        <f>_xll.BDP("CAT UN Equity","CHG_PCT_YTD_RT")</f>
        <v>35.035699999999999</v>
      </c>
    </row>
    <row r="83" spans="1:10" x14ac:dyDescent="0.25">
      <c r="A83" t="s">
        <v>90</v>
      </c>
      <c r="B83">
        <f>_xll.BDP("CB UN Equity","LAST_PRICE")</f>
        <v>277.32</v>
      </c>
      <c r="C83">
        <f>_xll.BDP("CB UN Equity","LAST_PRICE")</f>
        <v>277.32</v>
      </c>
      <c r="D83">
        <f>_xll.BDP("CB UN Equity","LAST_PRICE")</f>
        <v>277.32</v>
      </c>
      <c r="E83">
        <f>_xll.BDP("CB UN Equity","LAST_PRICE")</f>
        <v>277.32</v>
      </c>
      <c r="F83">
        <f>_xll.BDP("CB UN Equity","RT_PX_CHG_PCT_1D")</f>
        <v>-2.1177000999450684</v>
      </c>
      <c r="G83">
        <f>_xll.BDP("CB UN Equity","REALTIME_5_DAY_CHANGE_PERCENT")</f>
        <v>-4.3426999999999998</v>
      </c>
      <c r="H83">
        <f>_xll.BDP("CB UN Equity","CHG_PCT_1M_RT")</f>
        <v>-1.4359</v>
      </c>
      <c r="I83">
        <f>_xll.BDP("CB UN Equity","CHG_PCT_3M_RT")</f>
        <v>-5.0923999999999996</v>
      </c>
      <c r="J83">
        <f>_xll.BDP("CB UN Equity","CHG_PCT_YTD_RT")</f>
        <v>22.707999999999998</v>
      </c>
    </row>
    <row r="84" spans="1:10" x14ac:dyDescent="0.25">
      <c r="A84" t="s">
        <v>91</v>
      </c>
      <c r="B84">
        <f>_xll.BDP("CBOE UF Equity","LAST_PRICE")</f>
        <v>201.6</v>
      </c>
      <c r="C84">
        <f>_xll.BDP("CBOE UF Equity","LAST_PRICE")</f>
        <v>201.6</v>
      </c>
      <c r="D84">
        <f>_xll.BDP("CBOE UF Equity","LAST_PRICE")</f>
        <v>201.6</v>
      </c>
      <c r="E84">
        <f>_xll.BDP("CBOE UF Equity","LAST_PRICE")</f>
        <v>201.6</v>
      </c>
      <c r="F84">
        <f>_xll.BDP("CBOE UF Equity","RT_PX_CHG_PCT_1D")</f>
        <v>-1.1715999841690063</v>
      </c>
      <c r="G84">
        <f>_xll.BDP("CBOE UF Equity","REALTIME_5_DAY_CHANGE_PERCENT")</f>
        <v>-4.8653000000000004</v>
      </c>
      <c r="H84">
        <f>_xll.BDP("CBOE UF Equity","CHG_PCT_1M_RT")</f>
        <v>2.4077999999999999</v>
      </c>
      <c r="I84">
        <f>_xll.BDP("CBOE UF Equity","CHG_PCT_3M_RT")</f>
        <v>-4.6086999999999998</v>
      </c>
      <c r="J84">
        <f>_xll.BDP("CBOE UF Equity","CHG_PCT_YTD_RT")</f>
        <v>12.9032</v>
      </c>
    </row>
    <row r="85" spans="1:10" x14ac:dyDescent="0.25">
      <c r="A85" t="s">
        <v>92</v>
      </c>
      <c r="B85">
        <f>_xll.BDP("CBRE UN Equity","LAST_PRICE")</f>
        <v>137.29</v>
      </c>
      <c r="C85">
        <f>_xll.BDP("CBRE UN Equity","LAST_PRICE")</f>
        <v>137.29</v>
      </c>
      <c r="D85">
        <f>_xll.BDP("CBRE UN Equity","LAST_PRICE")</f>
        <v>137.29</v>
      </c>
      <c r="E85">
        <f>_xll.BDP("CBRE UN Equity","LAST_PRICE")</f>
        <v>137.29</v>
      </c>
      <c r="F85">
        <f>_xll.BDP("CBRE UN Equity","RT_PX_CHG_PCT_1D")</f>
        <v>-0.42789998650550842</v>
      </c>
      <c r="G85">
        <f>_xll.BDP("CBRE UN Equity","REALTIME_5_DAY_CHANGE_PERCENT")</f>
        <v>-0.79490000000000005</v>
      </c>
      <c r="H85">
        <f>_xll.BDP("CBRE UN Equity","CHG_PCT_1M_RT")</f>
        <v>0.88919999999999999</v>
      </c>
      <c r="I85">
        <f>_xll.BDP("CBRE UN Equity","CHG_PCT_3M_RT")</f>
        <v>19.113299999999999</v>
      </c>
      <c r="J85">
        <f>_xll.BDP("CBRE UN Equity","CHG_PCT_YTD_RT")</f>
        <v>47.480899999999998</v>
      </c>
    </row>
    <row r="86" spans="1:10" x14ac:dyDescent="0.25">
      <c r="A86" t="s">
        <v>93</v>
      </c>
      <c r="B86">
        <f>_xll.BDP("CCI UN Equity","LAST_PRICE")</f>
        <v>102</v>
      </c>
      <c r="C86">
        <f>_xll.BDP("CCI UN Equity","LAST_PRICE")</f>
        <v>102</v>
      </c>
      <c r="D86">
        <f>_xll.BDP("CCI UN Equity","LAST_PRICE")</f>
        <v>102</v>
      </c>
      <c r="E86">
        <f>_xll.BDP("CCI UN Equity","LAST_PRICE")</f>
        <v>102</v>
      </c>
      <c r="F86">
        <f>_xll.BDP("CCI UN Equity","RT_PX_CHG_PCT_1D")</f>
        <v>0.14730000495910645</v>
      </c>
      <c r="G86">
        <f>_xll.BDP("CCI UN Equity","REALTIME_5_DAY_CHANGE_PERCENT")</f>
        <v>-3.1522999999999999</v>
      </c>
      <c r="H86">
        <f>_xll.BDP("CCI UN Equity","CHG_PCT_1M_RT")</f>
        <v>-3.6372</v>
      </c>
      <c r="I86">
        <f>_xll.BDP("CCI UN Equity","CHG_PCT_3M_RT")</f>
        <v>-13.221</v>
      </c>
      <c r="J86">
        <f>_xll.BDP("CCI UN Equity","CHG_PCT_YTD_RT")</f>
        <v>-11.4506</v>
      </c>
    </row>
    <row r="87" spans="1:10" x14ac:dyDescent="0.25">
      <c r="A87" t="s">
        <v>94</v>
      </c>
      <c r="B87">
        <f>_xll.BDP("CCL UN Equity","LAST_PRICE")</f>
        <v>25.39</v>
      </c>
      <c r="C87">
        <f>_xll.BDP("CCL UN Equity","LAST_PRICE")</f>
        <v>25.39</v>
      </c>
      <c r="D87">
        <f>_xll.BDP("CCL UN Equity","LAST_PRICE")</f>
        <v>25.39</v>
      </c>
      <c r="E87">
        <f>_xll.BDP("CCL UN Equity","LAST_PRICE")</f>
        <v>25.39</v>
      </c>
      <c r="F87">
        <f>_xll.BDP("CCL UN Equity","RT_PX_CHG_PCT_1D")</f>
        <v>-4.5847001075744629</v>
      </c>
      <c r="G87">
        <f>_xll.BDP("CCL UN Equity","REALTIME_5_DAY_CHANGE_PERCENT")</f>
        <v>-2.3086000000000002</v>
      </c>
      <c r="H87">
        <f>_xll.BDP("CCL UN Equity","CHG_PCT_1M_RT")</f>
        <v>5.484</v>
      </c>
      <c r="I87">
        <f>_xll.BDP("CCL UN Equity","CHG_PCT_3M_RT")</f>
        <v>58.390500000000003</v>
      </c>
      <c r="J87">
        <f>_xll.BDP("CCL UN Equity","CHG_PCT_YTD_RT")</f>
        <v>36.947099999999999</v>
      </c>
    </row>
    <row r="88" spans="1:10" x14ac:dyDescent="0.25">
      <c r="A88" t="s">
        <v>95</v>
      </c>
      <c r="B88">
        <f>_xll.BDP("CDNS UW Equity","LAST_PRICE")</f>
        <v>309.75</v>
      </c>
      <c r="C88">
        <f>_xll.BDP("CDNS UW Equity","LAST_PRICE")</f>
        <v>309.75</v>
      </c>
      <c r="D88">
        <f>_xll.BDP("CDNS UW Equity","LAST_PRICE")</f>
        <v>309.75</v>
      </c>
      <c r="E88">
        <f>_xll.BDP("CDNS UW Equity","LAST_PRICE")</f>
        <v>309.75</v>
      </c>
      <c r="F88">
        <f>_xll.BDP("CDNS UW Equity","RT_PX_CHG_PCT_1D")</f>
        <v>0.72839999198913574</v>
      </c>
      <c r="G88">
        <f>_xll.BDP("CDNS UW Equity","REALTIME_5_DAY_CHANGE_PERCENT")</f>
        <v>-0.1676</v>
      </c>
      <c r="H88">
        <f>_xll.BDP("CDNS UW Equity","CHG_PCT_1M_RT")</f>
        <v>2.8216000000000001</v>
      </c>
      <c r="I88">
        <f>_xll.BDP("CDNS UW Equity","CHG_PCT_3M_RT")</f>
        <v>22.5228</v>
      </c>
      <c r="J88">
        <f>_xll.BDP("CDNS UW Equity","CHG_PCT_YTD_RT")</f>
        <v>13.724</v>
      </c>
    </row>
    <row r="89" spans="1:10" x14ac:dyDescent="0.25">
      <c r="A89" t="s">
        <v>96</v>
      </c>
      <c r="B89">
        <f>_xll.BDP("CDW UW Equity","LAST_PRICE")</f>
        <v>182.46</v>
      </c>
      <c r="C89">
        <f>_xll.BDP("CDW UW Equity","LAST_PRICE")</f>
        <v>182.46</v>
      </c>
      <c r="D89">
        <f>_xll.BDP("CDW UW Equity","LAST_PRICE")</f>
        <v>182.46</v>
      </c>
      <c r="E89">
        <f>_xll.BDP("CDW UW Equity","LAST_PRICE")</f>
        <v>182.46</v>
      </c>
      <c r="F89">
        <f>_xll.BDP("CDW UW Equity","RT_PX_CHG_PCT_1D")</f>
        <v>1.3329000473022461</v>
      </c>
      <c r="G89">
        <f>_xll.BDP("CDW UW Equity","REALTIME_5_DAY_CHANGE_PERCENT")</f>
        <v>1.0186999999999999</v>
      </c>
      <c r="H89">
        <f>_xll.BDP("CDW UW Equity","CHG_PCT_1M_RT")</f>
        <v>-8.7106999999999992</v>
      </c>
      <c r="I89">
        <f>_xll.BDP("CDW UW Equity","CHG_PCT_3M_RT")</f>
        <v>-14.7941</v>
      </c>
      <c r="J89">
        <f>_xll.BDP("CDW UW Equity","CHG_PCT_YTD_RT")</f>
        <v>-19.734300000000001</v>
      </c>
    </row>
    <row r="90" spans="1:10" x14ac:dyDescent="0.25">
      <c r="A90" t="s">
        <v>97</v>
      </c>
      <c r="B90">
        <f>_xll.BDP("CE UN Equity","LAST_PRICE")</f>
        <v>72.42</v>
      </c>
      <c r="C90">
        <f>_xll.BDP("CE UN Equity","LAST_PRICE")</f>
        <v>72.42</v>
      </c>
      <c r="D90">
        <f>_xll.BDP("CE UN Equity","LAST_PRICE")</f>
        <v>72.42</v>
      </c>
      <c r="E90">
        <f>_xll.BDP("CE UN Equity","LAST_PRICE")</f>
        <v>72.42</v>
      </c>
      <c r="F90">
        <f>_xll.BDP("CE UN Equity","RT_PX_CHG_PCT_1D")</f>
        <v>2.6651999950408936</v>
      </c>
      <c r="G90">
        <f>_xll.BDP("CE UN Equity","REALTIME_5_DAY_CHANGE_PERCENT")</f>
        <v>-2.4251999999999998</v>
      </c>
      <c r="H90">
        <f>_xll.BDP("CE UN Equity","CHG_PCT_1M_RT")</f>
        <v>-14.5991</v>
      </c>
      <c r="I90">
        <f>_xll.BDP("CE UN Equity","CHG_PCT_3M_RT")</f>
        <v>-39.830500000000001</v>
      </c>
      <c r="J90">
        <f>_xll.BDP("CE UN Equity","CHG_PCT_YTD_RT")</f>
        <v>-53.3887</v>
      </c>
    </row>
    <row r="91" spans="1:10" x14ac:dyDescent="0.25">
      <c r="A91" t="s">
        <v>98</v>
      </c>
      <c r="B91">
        <f>_xll.BDP("CEG UW Equity","LAST_PRICE")</f>
        <v>239.85</v>
      </c>
      <c r="C91">
        <f>_xll.BDP("CEG UW Equity","LAST_PRICE")</f>
        <v>239.85</v>
      </c>
      <c r="D91">
        <f>_xll.BDP("CEG UW Equity","LAST_PRICE")</f>
        <v>239.85</v>
      </c>
      <c r="E91">
        <f>_xll.BDP("CEG UW Equity","LAST_PRICE")</f>
        <v>239.85</v>
      </c>
      <c r="F91">
        <f>_xll.BDP("CEG UW Equity","RT_PX_CHG_PCT_1D")</f>
        <v>-5.4331002235412598</v>
      </c>
      <c r="G91">
        <f>_xll.BDP("CEG UW Equity","REALTIME_5_DAY_CHANGE_PERCENT")</f>
        <v>-3.8984999999999999</v>
      </c>
      <c r="H91">
        <f>_xll.BDP("CEG UW Equity","CHG_PCT_1M_RT")</f>
        <v>0.20050000000000001</v>
      </c>
      <c r="I91">
        <f>_xll.BDP("CEG UW Equity","CHG_PCT_3M_RT")</f>
        <v>37.119799999999998</v>
      </c>
      <c r="J91">
        <f>_xll.BDP("CEG UW Equity","CHG_PCT_YTD_RT")</f>
        <v>105.19289999999999</v>
      </c>
    </row>
    <row r="92" spans="1:10" x14ac:dyDescent="0.25">
      <c r="A92" t="s">
        <v>99</v>
      </c>
      <c r="B92">
        <f>_xll.BDP("CF UN Equity","LAST_PRICE")</f>
        <v>88.22</v>
      </c>
      <c r="C92">
        <f>_xll.BDP("CF UN Equity","LAST_PRICE")</f>
        <v>88.22</v>
      </c>
      <c r="D92">
        <f>_xll.BDP("CF UN Equity","LAST_PRICE")</f>
        <v>88.22</v>
      </c>
      <c r="E92">
        <f>_xll.BDP("CF UN Equity","LAST_PRICE")</f>
        <v>88.22</v>
      </c>
      <c r="F92">
        <f>_xll.BDP("CF UN Equity","RT_PX_CHG_PCT_1D")</f>
        <v>-0.24879999458789825</v>
      </c>
      <c r="G92">
        <f>_xll.BDP("CF UN Equity","REALTIME_5_DAY_CHANGE_PERCENT")</f>
        <v>-3.0123000000000002</v>
      </c>
      <c r="H92">
        <f>_xll.BDP("CF UN Equity","CHG_PCT_1M_RT")</f>
        <v>5.3875999999999999</v>
      </c>
      <c r="I92">
        <f>_xll.BDP("CF UN Equity","CHG_PCT_3M_RT")</f>
        <v>12.4251</v>
      </c>
      <c r="J92">
        <f>_xll.BDP("CF UN Equity","CHG_PCT_YTD_RT")</f>
        <v>10.9686</v>
      </c>
    </row>
    <row r="93" spans="1:10" x14ac:dyDescent="0.25">
      <c r="A93" t="s">
        <v>100</v>
      </c>
      <c r="B93">
        <f>_xll.BDP("CFG UN Equity","LAST_PRICE")</f>
        <v>45.97</v>
      </c>
      <c r="C93">
        <f>_xll.BDP("CFG UN Equity","LAST_PRICE")</f>
        <v>45.97</v>
      </c>
      <c r="D93">
        <f>_xll.BDP("CFG UN Equity","LAST_PRICE")</f>
        <v>45.97</v>
      </c>
      <c r="E93">
        <f>_xll.BDP("CFG UN Equity","LAST_PRICE")</f>
        <v>45.97</v>
      </c>
      <c r="F93">
        <f>_xll.BDP("CFG UN Equity","RT_PX_CHG_PCT_1D")</f>
        <v>-2.2539000511169434</v>
      </c>
      <c r="G93">
        <f>_xll.BDP("CFG UN Equity","REALTIME_5_DAY_CHANGE_PERCENT")</f>
        <v>-2.3576999999999999</v>
      </c>
      <c r="H93">
        <f>_xll.BDP("CFG UN Equity","CHG_PCT_1M_RT")</f>
        <v>0.3493</v>
      </c>
      <c r="I93">
        <f>_xll.BDP("CFG UN Equity","CHG_PCT_3M_RT")</f>
        <v>10.9047</v>
      </c>
      <c r="J93">
        <f>_xll.BDP("CFG UN Equity","CHG_PCT_YTD_RT")</f>
        <v>38.714500000000001</v>
      </c>
    </row>
    <row r="94" spans="1:10" x14ac:dyDescent="0.25">
      <c r="A94" t="s">
        <v>101</v>
      </c>
      <c r="B94">
        <f>_xll.BDP("CHD UN Equity","LAST_PRICE")</f>
        <v>105.89</v>
      </c>
      <c r="C94">
        <f>_xll.BDP("CHD UN Equity","LAST_PRICE")</f>
        <v>105.89</v>
      </c>
      <c r="D94">
        <f>_xll.BDP("CHD UN Equity","LAST_PRICE")</f>
        <v>105.89</v>
      </c>
      <c r="E94">
        <f>_xll.BDP("CHD UN Equity","LAST_PRICE")</f>
        <v>105.89</v>
      </c>
      <c r="F94">
        <f>_xll.BDP("CHD UN Equity","RT_PX_CHG_PCT_1D")</f>
        <v>-1.2311999797821045</v>
      </c>
      <c r="G94">
        <f>_xll.BDP("CHD UN Equity","REALTIME_5_DAY_CHANGE_PERCENT")</f>
        <v>-4.8094000000000001</v>
      </c>
      <c r="H94">
        <f>_xll.BDP("CHD UN Equity","CHG_PCT_1M_RT")</f>
        <v>-0.52610000000000001</v>
      </c>
      <c r="I94">
        <f>_xll.BDP("CHD UN Equity","CHG_PCT_3M_RT")</f>
        <v>0.27460000000000001</v>
      </c>
      <c r="J94">
        <f>_xll.BDP("CHD UN Equity","CHG_PCT_YTD_RT")</f>
        <v>11.9818</v>
      </c>
    </row>
    <row r="95" spans="1:10" x14ac:dyDescent="0.25">
      <c r="A95" t="s">
        <v>102</v>
      </c>
      <c r="B95">
        <f>_xll.BDP("CHRW UW Equity","LAST_PRICE")</f>
        <v>108.14</v>
      </c>
      <c r="C95">
        <f>_xll.BDP("CHRW UW Equity","LAST_PRICE")</f>
        <v>108.14</v>
      </c>
      <c r="D95">
        <f>_xll.BDP("CHRW UW Equity","LAST_PRICE")</f>
        <v>108.14</v>
      </c>
      <c r="E95">
        <f>_xll.BDP("CHRW UW Equity","LAST_PRICE")</f>
        <v>108.14</v>
      </c>
      <c r="F95">
        <f>_xll.BDP("CHRW UW Equity","RT_PX_CHG_PCT_1D")</f>
        <v>2.5703999996185303</v>
      </c>
      <c r="G95">
        <f>_xll.BDP("CHRW UW Equity","REALTIME_5_DAY_CHANGE_PERCENT")</f>
        <v>1.8459000000000001</v>
      </c>
      <c r="H95">
        <f>_xll.BDP("CHRW UW Equity","CHG_PCT_1M_RT")</f>
        <v>-0.38690000000000002</v>
      </c>
      <c r="I95">
        <f>_xll.BDP("CHRW UW Equity","CHG_PCT_3M_RT")</f>
        <v>6.9951999999999996</v>
      </c>
      <c r="J95">
        <f>_xll.BDP("CHRW UW Equity","CHG_PCT_YTD_RT")</f>
        <v>25.176500000000001</v>
      </c>
    </row>
    <row r="96" spans="1:10" x14ac:dyDescent="0.25">
      <c r="A96" t="s">
        <v>103</v>
      </c>
      <c r="B96">
        <f>_xll.BDP("CHTR UW Equity","LAST_PRICE")</f>
        <v>365.96</v>
      </c>
      <c r="C96">
        <f>_xll.BDP("CHTR UW Equity","LAST_PRICE")</f>
        <v>365.96</v>
      </c>
      <c r="D96">
        <f>_xll.BDP("CHTR UW Equity","LAST_PRICE")</f>
        <v>365.96</v>
      </c>
      <c r="E96">
        <f>_xll.BDP("CHTR UW Equity","LAST_PRICE")</f>
        <v>365.96</v>
      </c>
      <c r="F96">
        <f>_xll.BDP("CHTR UW Equity","RT_PX_CHG_PCT_1D")</f>
        <v>-9.2046003341674805</v>
      </c>
      <c r="G96">
        <f>_xll.BDP("CHTR UW Equity","REALTIME_5_DAY_CHANGE_PERCENT")</f>
        <v>-7.218</v>
      </c>
      <c r="H96">
        <f>_xll.BDP("CHTR UW Equity","CHG_PCT_1M_RT")</f>
        <v>-7.0483000000000002</v>
      </c>
      <c r="I96">
        <f>_xll.BDP("CHTR UW Equity","CHG_PCT_3M_RT")</f>
        <v>12.6585</v>
      </c>
      <c r="J96">
        <f>_xll.BDP("CHTR UW Equity","CHG_PCT_YTD_RT")</f>
        <v>-5.8453999999999997</v>
      </c>
    </row>
    <row r="97" spans="1:10" x14ac:dyDescent="0.25">
      <c r="A97" t="s">
        <v>104</v>
      </c>
      <c r="B97">
        <f>_xll.BDP("CI UN Equity","LAST_PRICE")</f>
        <v>319.14999999999998</v>
      </c>
      <c r="C97">
        <f>_xll.BDP("CI UN Equity","LAST_PRICE")</f>
        <v>319.14999999999998</v>
      </c>
      <c r="D97">
        <f>_xll.BDP("CI UN Equity","LAST_PRICE")</f>
        <v>319.14999999999998</v>
      </c>
      <c r="E97">
        <f>_xll.BDP("CI UN Equity","LAST_PRICE")</f>
        <v>319.14999999999998</v>
      </c>
      <c r="F97">
        <f>_xll.BDP("CI UN Equity","RT_PX_CHG_PCT_1D")</f>
        <v>0.42160001397132874</v>
      </c>
      <c r="G97">
        <f>_xll.BDP("CI UN Equity","REALTIME_5_DAY_CHANGE_PERCENT")</f>
        <v>-5.3136000000000001</v>
      </c>
      <c r="H97">
        <f>_xll.BDP("CI UN Equity","CHG_PCT_1M_RT")</f>
        <v>-0.19389999999999999</v>
      </c>
      <c r="I97">
        <f>_xll.BDP("CI UN Equity","CHG_PCT_3M_RT")</f>
        <v>-10.7547</v>
      </c>
      <c r="J97">
        <f>_xll.BDP("CI UN Equity","CHG_PCT_YTD_RT")</f>
        <v>6.5787000000000004</v>
      </c>
    </row>
    <row r="98" spans="1:10" x14ac:dyDescent="0.25">
      <c r="A98" t="s">
        <v>105</v>
      </c>
      <c r="B98">
        <f>_xll.BDP("CINF UW Equity","LAST_PRICE")</f>
        <v>153.65</v>
      </c>
      <c r="C98">
        <f>_xll.BDP("CINF UW Equity","LAST_PRICE")</f>
        <v>153.65</v>
      </c>
      <c r="D98">
        <f>_xll.BDP("CINF UW Equity","LAST_PRICE")</f>
        <v>153.65</v>
      </c>
      <c r="E98">
        <f>_xll.BDP("CINF UW Equity","LAST_PRICE")</f>
        <v>153.65</v>
      </c>
      <c r="F98">
        <f>_xll.BDP("CINF UW Equity","RT_PX_CHG_PCT_1D")</f>
        <v>-1.5253000259399414</v>
      </c>
      <c r="G98">
        <f>_xll.BDP("CINF UW Equity","REALTIME_5_DAY_CHANGE_PERCENT")</f>
        <v>-2.4940000000000002</v>
      </c>
      <c r="H98">
        <f>_xll.BDP("CINF UW Equity","CHG_PCT_1M_RT")</f>
        <v>3.3357999999999999</v>
      </c>
      <c r="I98">
        <f>_xll.BDP("CINF UW Equity","CHG_PCT_3M_RT")</f>
        <v>11.7698</v>
      </c>
      <c r="J98">
        <f>_xll.BDP("CINF UW Equity","CHG_PCT_YTD_RT")</f>
        <v>48.511499999999998</v>
      </c>
    </row>
    <row r="99" spans="1:10" x14ac:dyDescent="0.25">
      <c r="A99" t="s">
        <v>106</v>
      </c>
      <c r="B99">
        <f>_xll.BDP("CL UN Equity","LAST_PRICE")</f>
        <v>92.94</v>
      </c>
      <c r="C99">
        <f>_xll.BDP("CL UN Equity","LAST_PRICE")</f>
        <v>92.94</v>
      </c>
      <c r="D99">
        <f>_xll.BDP("CL UN Equity","LAST_PRICE")</f>
        <v>92.94</v>
      </c>
      <c r="E99">
        <f>_xll.BDP("CL UN Equity","LAST_PRICE")</f>
        <v>92.94</v>
      </c>
      <c r="F99">
        <f>_xll.BDP("CL UN Equity","RT_PX_CHG_PCT_1D")</f>
        <v>-1.3689999580383301</v>
      </c>
      <c r="G99">
        <f>_xll.BDP("CL UN Equity","REALTIME_5_DAY_CHANGE_PERCENT")</f>
        <v>-4.2941000000000003</v>
      </c>
      <c r="H99">
        <f>_xll.BDP("CL UN Equity","CHG_PCT_1M_RT")</f>
        <v>0.3997</v>
      </c>
      <c r="I99">
        <f>_xll.BDP("CL UN Equity","CHG_PCT_3M_RT")</f>
        <v>-13.2294</v>
      </c>
      <c r="J99">
        <f>_xll.BDP("CL UN Equity","CHG_PCT_YTD_RT")</f>
        <v>16.5977</v>
      </c>
    </row>
    <row r="100" spans="1:10" x14ac:dyDescent="0.25">
      <c r="A100" t="s">
        <v>107</v>
      </c>
      <c r="B100">
        <f>_xll.BDP("CLX UN Equity","LAST_PRICE")</f>
        <v>167.4</v>
      </c>
      <c r="C100">
        <f>_xll.BDP("CLX UN Equity","LAST_PRICE")</f>
        <v>167.4</v>
      </c>
      <c r="D100">
        <f>_xll.BDP("CLX UN Equity","LAST_PRICE")</f>
        <v>167.4</v>
      </c>
      <c r="E100">
        <f>_xll.BDP("CLX UN Equity","LAST_PRICE")</f>
        <v>167.4</v>
      </c>
      <c r="F100">
        <f>_xll.BDP("CLX UN Equity","RT_PX_CHG_PCT_1D")</f>
        <v>0.25749999284744263</v>
      </c>
      <c r="G100">
        <f>_xll.BDP("CLX UN Equity","REALTIME_5_DAY_CHANGE_PERCENT")</f>
        <v>0.51639999999999997</v>
      </c>
      <c r="H100">
        <f>_xll.BDP("CLX UN Equity","CHG_PCT_1M_RT")</f>
        <v>1.3563000000000001</v>
      </c>
      <c r="I100">
        <f>_xll.BDP("CLX UN Equity","CHG_PCT_3M_RT")</f>
        <v>1.3317000000000001</v>
      </c>
      <c r="J100">
        <f>_xll.BDP("CLX UN Equity","CHG_PCT_YTD_RT")</f>
        <v>17.3995</v>
      </c>
    </row>
    <row r="101" spans="1:10" x14ac:dyDescent="0.25">
      <c r="A101" t="s">
        <v>108</v>
      </c>
      <c r="B101">
        <f>_xll.BDP("CMCSA UW Equity","LAST_PRICE")</f>
        <v>39.049999999999997</v>
      </c>
      <c r="C101">
        <f>_xll.BDP("CMCSA UW Equity","LAST_PRICE")</f>
        <v>39.049999999999997</v>
      </c>
      <c r="D101">
        <f>_xll.BDP("CMCSA UW Equity","LAST_PRICE")</f>
        <v>39.049999999999997</v>
      </c>
      <c r="E101">
        <f>_xll.BDP("CMCSA UW Equity","LAST_PRICE")</f>
        <v>39.049999999999997</v>
      </c>
      <c r="F101">
        <f>_xll.BDP("CMCSA UW Equity","RT_PX_CHG_PCT_1D")</f>
        <v>-9.5017004013061523</v>
      </c>
      <c r="G101">
        <f>_xll.BDP("CMCSA UW Equity","REALTIME_5_DAY_CHANGE_PERCENT")</f>
        <v>-9.7943999999999996</v>
      </c>
      <c r="H101">
        <f>_xll.BDP("CMCSA UW Equity","CHG_PCT_1M_RT")</f>
        <v>-11.068099999999999</v>
      </c>
      <c r="I101">
        <f>_xll.BDP("CMCSA UW Equity","CHG_PCT_3M_RT")</f>
        <v>-1.6868000000000001</v>
      </c>
      <c r="J101">
        <f>_xll.BDP("CMCSA UW Equity","CHG_PCT_YTD_RT")</f>
        <v>-10.946400000000001</v>
      </c>
    </row>
    <row r="102" spans="1:10" x14ac:dyDescent="0.25">
      <c r="A102" t="s">
        <v>109</v>
      </c>
      <c r="B102">
        <f>_xll.BDP("CME UW Equity","LAST_PRICE")</f>
        <v>236.72</v>
      </c>
      <c r="C102">
        <f>_xll.BDP("CME UW Equity","LAST_PRICE")</f>
        <v>236.72</v>
      </c>
      <c r="D102">
        <f>_xll.BDP("CME UW Equity","LAST_PRICE")</f>
        <v>236.72</v>
      </c>
      <c r="E102">
        <f>_xll.BDP("CME UW Equity","LAST_PRICE")</f>
        <v>236.72</v>
      </c>
      <c r="F102">
        <f>_xll.BDP("CME UW Equity","RT_PX_CHG_PCT_1D")</f>
        <v>-0.63380002975463867</v>
      </c>
      <c r="G102">
        <f>_xll.BDP("CME UW Equity","REALTIME_5_DAY_CHANGE_PERCENT")</f>
        <v>0.47110000000000002</v>
      </c>
      <c r="H102">
        <f>_xll.BDP("CME UW Equity","CHG_PCT_1M_RT")</f>
        <v>4.9012000000000002</v>
      </c>
      <c r="I102">
        <f>_xll.BDP("CME UW Equity","CHG_PCT_3M_RT")</f>
        <v>8.3187999999999995</v>
      </c>
      <c r="J102">
        <f>_xll.BDP("CME UW Equity","CHG_PCT_YTD_RT")</f>
        <v>12.402699999999999</v>
      </c>
    </row>
    <row r="103" spans="1:10" x14ac:dyDescent="0.25">
      <c r="A103" t="s">
        <v>110</v>
      </c>
      <c r="B103">
        <f>_xll.BDP("CMG UN Equity","LAST_PRICE")</f>
        <v>64.58</v>
      </c>
      <c r="C103">
        <f>_xll.BDP("CMG UN Equity","LAST_PRICE")</f>
        <v>64.58</v>
      </c>
      <c r="D103">
        <f>_xll.BDP("CMG UN Equity","LAST_PRICE")</f>
        <v>64.58</v>
      </c>
      <c r="E103">
        <f>_xll.BDP("CMG UN Equity","LAST_PRICE")</f>
        <v>64.58</v>
      </c>
      <c r="F103">
        <f>_xll.BDP("CMG UN Equity","RT_PX_CHG_PCT_1D")</f>
        <v>-1.2538000345230103</v>
      </c>
      <c r="G103">
        <f>_xll.BDP("CMG UN Equity","REALTIME_5_DAY_CHANGE_PERCENT")</f>
        <v>6.6733000000000002</v>
      </c>
      <c r="H103">
        <f>_xll.BDP("CMG UN Equity","CHG_PCT_1M_RT")</f>
        <v>9.8112999999999992</v>
      </c>
      <c r="I103">
        <f>_xll.BDP("CMG UN Equity","CHG_PCT_3M_RT")</f>
        <v>18.953800000000001</v>
      </c>
      <c r="J103">
        <f>_xll.BDP("CMG UN Equity","CHG_PCT_YTD_RT")</f>
        <v>41.192399999999999</v>
      </c>
    </row>
    <row r="104" spans="1:10" x14ac:dyDescent="0.25">
      <c r="A104" t="s">
        <v>111</v>
      </c>
      <c r="B104">
        <f>_xll.BDP("CMI UN Equity","LAST_PRICE")</f>
        <v>383.42</v>
      </c>
      <c r="C104">
        <f>_xll.BDP("CMI UN Equity","LAST_PRICE")</f>
        <v>383.42</v>
      </c>
      <c r="D104">
        <f>_xll.BDP("CMI UN Equity","LAST_PRICE")</f>
        <v>383.42</v>
      </c>
      <c r="E104">
        <f>_xll.BDP("CMI UN Equity","LAST_PRICE")</f>
        <v>383.42</v>
      </c>
      <c r="F104">
        <f>_xll.BDP("CMI UN Equity","RT_PX_CHG_PCT_1D")</f>
        <v>1.0062999725341797</v>
      </c>
      <c r="G104">
        <f>_xll.BDP("CMI UN Equity","REALTIME_5_DAY_CHANGE_PERCENT")</f>
        <v>1.6221000000000001</v>
      </c>
      <c r="H104">
        <f>_xll.BDP("CMI UN Equity","CHG_PCT_1M_RT")</f>
        <v>7.5632999999999999</v>
      </c>
      <c r="I104">
        <f>_xll.BDP("CMI UN Equity","CHG_PCT_3M_RT")</f>
        <v>29.180299999999999</v>
      </c>
      <c r="J104">
        <f>_xll.BDP("CMI UN Equity","CHG_PCT_YTD_RT")</f>
        <v>60.045099999999998</v>
      </c>
    </row>
    <row r="105" spans="1:10" x14ac:dyDescent="0.25">
      <c r="A105" t="s">
        <v>112</v>
      </c>
      <c r="B105">
        <f>_xll.BDP("CMS UN Equity","LAST_PRICE")</f>
        <v>67.650000000000006</v>
      </c>
      <c r="C105">
        <f>_xll.BDP("CMS UN Equity","LAST_PRICE")</f>
        <v>67.650000000000006</v>
      </c>
      <c r="D105">
        <f>_xll.BDP("CMS UN Equity","LAST_PRICE")</f>
        <v>67.650000000000006</v>
      </c>
      <c r="E105">
        <f>_xll.BDP("CMS UN Equity","LAST_PRICE")</f>
        <v>67.650000000000006</v>
      </c>
      <c r="F105">
        <f>_xll.BDP("CMS UN Equity","RT_PX_CHG_PCT_1D")</f>
        <v>0.71460002660751343</v>
      </c>
      <c r="G105">
        <f>_xll.BDP("CMS UN Equity","REALTIME_5_DAY_CHANGE_PERCENT")</f>
        <v>-1.0965</v>
      </c>
      <c r="H105">
        <f>_xll.BDP("CMS UN Equity","CHG_PCT_1M_RT")</f>
        <v>0.5948</v>
      </c>
      <c r="I105">
        <f>_xll.BDP("CMS UN Equity","CHG_PCT_3M_RT")</f>
        <v>-2.1267</v>
      </c>
      <c r="J105">
        <f>_xll.BDP("CMS UN Equity","CHG_PCT_YTD_RT")</f>
        <v>16.497299999999999</v>
      </c>
    </row>
    <row r="106" spans="1:10" x14ac:dyDescent="0.25">
      <c r="A106" t="s">
        <v>113</v>
      </c>
      <c r="B106">
        <f>_xll.BDP("CNC UN Equity","LAST_PRICE")</f>
        <v>58.49</v>
      </c>
      <c r="C106">
        <f>_xll.BDP("CNC UN Equity","LAST_PRICE")</f>
        <v>58.49</v>
      </c>
      <c r="D106">
        <f>_xll.BDP("CNC UN Equity","LAST_PRICE")</f>
        <v>58.49</v>
      </c>
      <c r="E106">
        <f>_xll.BDP("CNC UN Equity","LAST_PRICE")</f>
        <v>58.49</v>
      </c>
      <c r="F106">
        <f>_xll.BDP("CNC UN Equity","RT_PX_CHG_PCT_1D")</f>
        <v>3.0478999614715576</v>
      </c>
      <c r="G106">
        <f>_xll.BDP("CNC UN Equity","REALTIME_5_DAY_CHANGE_PERCENT")</f>
        <v>-2.6141000000000001</v>
      </c>
      <c r="H106">
        <f>_xll.BDP("CNC UN Equity","CHG_PCT_1M_RT")</f>
        <v>-2.7597999999999998</v>
      </c>
      <c r="I106">
        <f>_xll.BDP("CNC UN Equity","CHG_PCT_3M_RT")</f>
        <v>-17.433700000000002</v>
      </c>
      <c r="J106">
        <f>_xll.BDP("CNC UN Equity","CHG_PCT_YTD_RT")</f>
        <v>-21.1831</v>
      </c>
    </row>
    <row r="107" spans="1:10" x14ac:dyDescent="0.25">
      <c r="A107" t="s">
        <v>114</v>
      </c>
      <c r="B107">
        <f>_xll.BDP("CNP UN Equity","LAST_PRICE")</f>
        <v>31.36</v>
      </c>
      <c r="C107">
        <f>_xll.BDP("CNP UN Equity","LAST_PRICE")</f>
        <v>31.36</v>
      </c>
      <c r="D107">
        <f>_xll.BDP("CNP UN Equity","LAST_PRICE")</f>
        <v>31.36</v>
      </c>
      <c r="E107">
        <f>_xll.BDP("CNP UN Equity","LAST_PRICE")</f>
        <v>31.36</v>
      </c>
      <c r="F107">
        <f>_xll.BDP("CNP UN Equity","RT_PX_CHG_PCT_1D")</f>
        <v>-0.94760000705718994</v>
      </c>
      <c r="G107">
        <f>_xll.BDP("CNP UN Equity","REALTIME_5_DAY_CHANGE_PERCENT")</f>
        <v>-1.9694</v>
      </c>
      <c r="H107">
        <f>_xll.BDP("CNP UN Equity","CHG_PCT_1M_RT")</f>
        <v>3.1918000000000002</v>
      </c>
      <c r="I107">
        <f>_xll.BDP("CNP UN Equity","CHG_PCT_3M_RT")</f>
        <v>14.4108</v>
      </c>
      <c r="J107">
        <f>_xll.BDP("CNP UN Equity","CHG_PCT_YTD_RT")</f>
        <v>9.7654999999999994</v>
      </c>
    </row>
    <row r="108" spans="1:10" x14ac:dyDescent="0.25">
      <c r="A108" t="s">
        <v>115</v>
      </c>
      <c r="B108">
        <f>_xll.BDP("COF UN Equity","LAST_PRICE")</f>
        <v>184.72</v>
      </c>
      <c r="C108">
        <f>_xll.BDP("COF UN Equity","LAST_PRICE")</f>
        <v>184.72</v>
      </c>
      <c r="D108">
        <f>_xll.BDP("COF UN Equity","LAST_PRICE")</f>
        <v>184.72</v>
      </c>
      <c r="E108">
        <f>_xll.BDP("COF UN Equity","LAST_PRICE")</f>
        <v>184.72</v>
      </c>
      <c r="F108">
        <f>_xll.BDP("COF UN Equity","RT_PX_CHG_PCT_1D")</f>
        <v>-1.7237999439239502</v>
      </c>
      <c r="G108">
        <f>_xll.BDP("COF UN Equity","REALTIME_5_DAY_CHANGE_PERCENT")</f>
        <v>-1.4932000000000001</v>
      </c>
      <c r="H108">
        <f>_xll.BDP("COF UN Equity","CHG_PCT_1M_RT")</f>
        <v>-0.2646</v>
      </c>
      <c r="I108">
        <f>_xll.BDP("COF UN Equity","CHG_PCT_3M_RT")</f>
        <v>29.537199999999999</v>
      </c>
      <c r="J108">
        <f>_xll.BDP("COF UN Equity","CHG_PCT_YTD_RT")</f>
        <v>40.878599999999999</v>
      </c>
    </row>
    <row r="109" spans="1:10" x14ac:dyDescent="0.25">
      <c r="A109" t="s">
        <v>116</v>
      </c>
      <c r="B109">
        <f>_xll.BDP("COO UW Equity","LAST_PRICE")</f>
        <v>99.26</v>
      </c>
      <c r="C109">
        <f>_xll.BDP("COO UW Equity","LAST_PRICE")</f>
        <v>99.26</v>
      </c>
      <c r="D109">
        <f>_xll.BDP("COO UW Equity","LAST_PRICE")</f>
        <v>99.26</v>
      </c>
      <c r="E109">
        <f>_xll.BDP("COO UW Equity","LAST_PRICE")</f>
        <v>99.26</v>
      </c>
      <c r="F109">
        <f>_xll.BDP("COO UW Equity","RT_PX_CHG_PCT_1D")</f>
        <v>0.56739997863769531</v>
      </c>
      <c r="G109">
        <f>_xll.BDP("COO UW Equity","REALTIME_5_DAY_CHANGE_PERCENT")</f>
        <v>-3.6311</v>
      </c>
      <c r="H109">
        <f>_xll.BDP("COO UW Equity","CHG_PCT_1M_RT")</f>
        <v>-4.3277000000000001</v>
      </c>
      <c r="I109">
        <f>_xll.BDP("COO UW Equity","CHG_PCT_3M_RT")</f>
        <v>-8.1181000000000001</v>
      </c>
      <c r="J109">
        <f>_xll.BDP("COO UW Equity","CHG_PCT_YTD_RT")</f>
        <v>4.9149000000000003</v>
      </c>
    </row>
    <row r="110" spans="1:10" x14ac:dyDescent="0.25">
      <c r="A110" t="s">
        <v>117</v>
      </c>
      <c r="B110">
        <f>_xll.BDP("COP UN Equity","LAST_PRICE")</f>
        <v>103.16</v>
      </c>
      <c r="C110">
        <f>_xll.BDP("COP UN Equity","LAST_PRICE")</f>
        <v>103.16</v>
      </c>
      <c r="D110">
        <f>_xll.BDP("COP UN Equity","LAST_PRICE")</f>
        <v>103.16</v>
      </c>
      <c r="E110">
        <f>_xll.BDP("COP UN Equity","LAST_PRICE")</f>
        <v>103.16</v>
      </c>
      <c r="F110">
        <f>_xll.BDP("COP UN Equity","RT_PX_CHG_PCT_1D")</f>
        <v>-5.8100000023841858E-2</v>
      </c>
      <c r="G110">
        <f>_xll.BDP("COP UN Equity","REALTIME_5_DAY_CHANGE_PERCENT")</f>
        <v>-2.8075999999999999</v>
      </c>
      <c r="H110">
        <f>_xll.BDP("COP UN Equity","CHG_PCT_1M_RT")</f>
        <v>-7.5544000000000002</v>
      </c>
      <c r="I110">
        <f>_xll.BDP("COP UN Equity","CHG_PCT_3M_RT")</f>
        <v>-2.3106</v>
      </c>
      <c r="J110">
        <f>_xll.BDP("COP UN Equity","CHG_PCT_YTD_RT")</f>
        <v>-11.1226</v>
      </c>
    </row>
    <row r="111" spans="1:10" x14ac:dyDescent="0.25">
      <c r="A111" t="s">
        <v>118</v>
      </c>
      <c r="B111">
        <f>_xll.BDP("COR UN Equity","LAST_PRICE")</f>
        <v>240.51</v>
      </c>
      <c r="C111">
        <f>_xll.BDP("COR UN Equity","LAST_PRICE")</f>
        <v>240.51</v>
      </c>
      <c r="D111">
        <f>_xll.BDP("COR UN Equity","LAST_PRICE")</f>
        <v>240.51</v>
      </c>
      <c r="E111">
        <f>_xll.BDP("COR UN Equity","LAST_PRICE")</f>
        <v>240.51</v>
      </c>
      <c r="F111">
        <f>_xll.BDP("COR UN Equity","RT_PX_CHG_PCT_1D")</f>
        <v>-1.1914000511169434</v>
      </c>
      <c r="G111">
        <f>_xll.BDP("COR UN Equity","REALTIME_5_DAY_CHANGE_PERCENT")</f>
        <v>-3.7458999999999998</v>
      </c>
      <c r="H111">
        <f>_xll.BDP("COR UN Equity","CHG_PCT_1M_RT")</f>
        <v>-3.1802000000000001</v>
      </c>
      <c r="I111">
        <f>_xll.BDP("COR UN Equity","CHG_PCT_3M_RT")</f>
        <v>1.6827000000000001</v>
      </c>
      <c r="J111">
        <f>_xll.BDP("COR UN Equity","CHG_PCT_YTD_RT")</f>
        <v>17.104900000000001</v>
      </c>
    </row>
    <row r="112" spans="1:10" x14ac:dyDescent="0.25">
      <c r="A112" t="s">
        <v>119</v>
      </c>
      <c r="B112">
        <f>_xll.BDP("COST UW Equity","LAST_PRICE")</f>
        <v>987.86</v>
      </c>
      <c r="C112">
        <f>_xll.BDP("COST UW Equity","LAST_PRICE")</f>
        <v>987.86</v>
      </c>
      <c r="D112">
        <f>_xll.BDP("COST UW Equity","LAST_PRICE")</f>
        <v>987.86</v>
      </c>
      <c r="E112">
        <f>_xll.BDP("COST UW Equity","LAST_PRICE")</f>
        <v>987.86</v>
      </c>
      <c r="F112">
        <f>_xll.BDP("COST UW Equity","RT_PX_CHG_PCT_1D")</f>
        <v>-0.47850000858306885</v>
      </c>
      <c r="G112">
        <f>_xll.BDP("COST UW Equity","REALTIME_5_DAY_CHANGE_PERCENT")</f>
        <v>1.319</v>
      </c>
      <c r="H112">
        <f>_xll.BDP("COST UW Equity","CHG_PCT_1M_RT")</f>
        <v>4.6684000000000001</v>
      </c>
      <c r="I112">
        <f>_xll.BDP("COST UW Equity","CHG_PCT_3M_RT")</f>
        <v>10.192</v>
      </c>
      <c r="J112">
        <f>_xll.BDP("COST UW Equity","CHG_PCT_YTD_RT")</f>
        <v>49.657600000000002</v>
      </c>
    </row>
    <row r="113" spans="1:10" x14ac:dyDescent="0.25">
      <c r="A113" t="s">
        <v>120</v>
      </c>
      <c r="B113">
        <f>_xll.BDP("CPAY UN Equity","LAST_PRICE")</f>
        <v>361.72</v>
      </c>
      <c r="C113">
        <f>_xll.BDP("CPAY UN Equity","LAST_PRICE")</f>
        <v>361.72</v>
      </c>
      <c r="D113">
        <f>_xll.BDP("CPAY UN Equity","LAST_PRICE")</f>
        <v>361.72</v>
      </c>
      <c r="E113">
        <f>_xll.BDP("CPAY UN Equity","LAST_PRICE")</f>
        <v>361.72</v>
      </c>
      <c r="F113">
        <f>_xll.BDP("CPAY UN Equity","RT_PX_CHG_PCT_1D")</f>
        <v>-1.1045000553131104</v>
      </c>
      <c r="G113">
        <f>_xll.BDP("CPAY UN Equity","REALTIME_5_DAY_CHANGE_PERCENT")</f>
        <v>-5.5537000000000001</v>
      </c>
      <c r="H113">
        <f>_xll.BDP("CPAY UN Equity","CHG_PCT_1M_RT")</f>
        <v>-1.1720999999999999</v>
      </c>
      <c r="I113">
        <f>_xll.BDP("CPAY UN Equity","CHG_PCT_3M_RT")</f>
        <v>17.6708</v>
      </c>
      <c r="J113">
        <f>_xll.BDP("CPAY UN Equity","CHG_PCT_YTD_RT")</f>
        <v>27.992599999999999</v>
      </c>
    </row>
    <row r="114" spans="1:10" x14ac:dyDescent="0.25">
      <c r="A114" t="s">
        <v>121</v>
      </c>
      <c r="B114">
        <f>_xll.BDP("CPB UW Equity","LAST_PRICE")</f>
        <v>43.11</v>
      </c>
      <c r="C114">
        <f>_xll.BDP("CPB UW Equity","LAST_PRICE")</f>
        <v>43.11</v>
      </c>
      <c r="D114">
        <f>_xll.BDP("CPB UW Equity","LAST_PRICE")</f>
        <v>43.11</v>
      </c>
      <c r="E114">
        <f>_xll.BDP("CPB UW Equity","LAST_PRICE")</f>
        <v>43.11</v>
      </c>
      <c r="F114">
        <f>_xll.BDP("CPB UW Equity","RT_PX_CHG_PCT_1D")</f>
        <v>0.88929998874664307</v>
      </c>
      <c r="G114">
        <f>_xll.BDP("CPB UW Equity","REALTIME_5_DAY_CHANGE_PERCENT")</f>
        <v>-6.7488999999999999</v>
      </c>
      <c r="H114">
        <f>_xll.BDP("CPB UW Equity","CHG_PCT_1M_RT")</f>
        <v>-5.4398</v>
      </c>
      <c r="I114">
        <f>_xll.BDP("CPB UW Equity","CHG_PCT_3M_RT")</f>
        <v>-16.679600000000001</v>
      </c>
      <c r="J114" t="str">
        <f>_xll.BDP("CPB UW Equity","CHG_PCT_YTD_RT")</f>
        <v>#N/A N/A</v>
      </c>
    </row>
    <row r="115" spans="1:10" x14ac:dyDescent="0.25">
      <c r="A115" t="s">
        <v>122</v>
      </c>
      <c r="B115">
        <f>_xll.BDP("CPRT UW Equity","LAST_PRICE")</f>
        <v>61.77</v>
      </c>
      <c r="C115">
        <f>_xll.BDP("CPRT UW Equity","LAST_PRICE")</f>
        <v>61.77</v>
      </c>
      <c r="D115">
        <f>_xll.BDP("CPRT UW Equity","LAST_PRICE")</f>
        <v>61.77</v>
      </c>
      <c r="E115">
        <f>_xll.BDP("CPRT UW Equity","LAST_PRICE")</f>
        <v>61.77</v>
      </c>
      <c r="F115">
        <f>_xll.BDP("CPRT UW Equity","RT_PX_CHG_PCT_1D")</f>
        <v>-0.49939998984336853</v>
      </c>
      <c r="G115">
        <f>_xll.BDP("CPRT UW Equity","REALTIME_5_DAY_CHANGE_PERCENT")</f>
        <v>-0.40310000000000001</v>
      </c>
      <c r="H115">
        <f>_xll.BDP("CPRT UW Equity","CHG_PCT_1M_RT")</f>
        <v>10.0677</v>
      </c>
      <c r="I115">
        <f>_xll.BDP("CPRT UW Equity","CHG_PCT_3M_RT")</f>
        <v>24.989899999999999</v>
      </c>
      <c r="J115">
        <f>_xll.BDP("CPRT UW Equity","CHG_PCT_YTD_RT")</f>
        <v>26.061199999999999</v>
      </c>
    </row>
    <row r="116" spans="1:10" x14ac:dyDescent="0.25">
      <c r="A116" t="s">
        <v>123</v>
      </c>
      <c r="B116">
        <f>_xll.BDP("CPT UN Equity","LAST_PRICE")</f>
        <v>122.77</v>
      </c>
      <c r="C116">
        <f>_xll.BDP("CPT UN Equity","LAST_PRICE")</f>
        <v>122.77</v>
      </c>
      <c r="D116">
        <f>_xll.BDP("CPT UN Equity","LAST_PRICE")</f>
        <v>122.77</v>
      </c>
      <c r="E116">
        <f>_xll.BDP("CPT UN Equity","LAST_PRICE")</f>
        <v>122.77</v>
      </c>
      <c r="F116">
        <f>_xll.BDP("CPT UN Equity","RT_PX_CHG_PCT_1D")</f>
        <v>0.71369999647140503</v>
      </c>
      <c r="G116">
        <f>_xll.BDP("CPT UN Equity","REALTIME_5_DAY_CHANGE_PERCENT")</f>
        <v>-0.95199999999999996</v>
      </c>
      <c r="H116">
        <f>_xll.BDP("CPT UN Equity","CHG_PCT_1M_RT")</f>
        <v>0.84609999999999996</v>
      </c>
      <c r="I116">
        <f>_xll.BDP("CPT UN Equity","CHG_PCT_3M_RT")</f>
        <v>1.1952</v>
      </c>
      <c r="J116">
        <f>_xll.BDP("CPT UN Equity","CHG_PCT_YTD_RT")</f>
        <v>23.6479</v>
      </c>
    </row>
    <row r="117" spans="1:10" x14ac:dyDescent="0.25">
      <c r="A117" t="s">
        <v>124</v>
      </c>
      <c r="B117">
        <f>_xll.BDP("CRL UN Equity","LAST_PRICE")</f>
        <v>201.75</v>
      </c>
      <c r="C117">
        <f>_xll.BDP("CRL UN Equity","LAST_PRICE")</f>
        <v>201.75</v>
      </c>
      <c r="D117">
        <f>_xll.BDP("CRL UN Equity","LAST_PRICE")</f>
        <v>201.75</v>
      </c>
      <c r="E117">
        <f>_xll.BDP("CRL UN Equity","LAST_PRICE")</f>
        <v>201.75</v>
      </c>
      <c r="F117">
        <f>_xll.BDP("CRL UN Equity","RT_PX_CHG_PCT_1D")</f>
        <v>5.1821999549865723</v>
      </c>
      <c r="G117">
        <f>_xll.BDP("CRL UN Equity","REALTIME_5_DAY_CHANGE_PERCENT")</f>
        <v>0.24840000000000001</v>
      </c>
      <c r="H117">
        <f>_xll.BDP("CRL UN Equity","CHG_PCT_1M_RT")</f>
        <v>-6.3327</v>
      </c>
      <c r="I117">
        <f>_xll.BDP("CRL UN Equity","CHG_PCT_3M_RT")</f>
        <v>7.2225999999999999</v>
      </c>
      <c r="J117">
        <f>_xll.BDP("CRL UN Equity","CHG_PCT_YTD_RT")</f>
        <v>-14.657400000000001</v>
      </c>
    </row>
    <row r="118" spans="1:10" x14ac:dyDescent="0.25">
      <c r="A118" t="s">
        <v>125</v>
      </c>
      <c r="B118">
        <f>_xll.BDP("CRM UN Equity","LAST_PRICE")</f>
        <v>351.57</v>
      </c>
      <c r="C118">
        <f>_xll.BDP("CRM UN Equity","LAST_PRICE")</f>
        <v>351.57</v>
      </c>
      <c r="D118">
        <f>_xll.BDP("CRM UN Equity","LAST_PRICE")</f>
        <v>351.57</v>
      </c>
      <c r="E118">
        <f>_xll.BDP("CRM UN Equity","LAST_PRICE")</f>
        <v>351.57</v>
      </c>
      <c r="F118">
        <f>_xll.BDP("CRM UN Equity","RT_PX_CHG_PCT_1D")</f>
        <v>-2.8784999847412109</v>
      </c>
      <c r="G118">
        <f>_xll.BDP("CRM UN Equity","REALTIME_5_DAY_CHANGE_PERCENT")</f>
        <v>6.2112999999999996</v>
      </c>
      <c r="H118">
        <f>_xll.BDP("CRM UN Equity","CHG_PCT_1M_RT")</f>
        <v>9.2002000000000006</v>
      </c>
      <c r="I118">
        <f>_xll.BDP("CRM UN Equity","CHG_PCT_3M_RT")</f>
        <v>43.054200000000002</v>
      </c>
      <c r="J118">
        <f>_xll.BDP("CRM UN Equity","CHG_PCT_YTD_RT")</f>
        <v>33.605699999999999</v>
      </c>
    </row>
    <row r="119" spans="1:10" x14ac:dyDescent="0.25">
      <c r="A119" t="s">
        <v>126</v>
      </c>
      <c r="B119">
        <f>_xll.BDP("CRWD UW Equity","LAST_PRICE")</f>
        <v>353.6</v>
      </c>
      <c r="C119">
        <f>_xll.BDP("CRWD UW Equity","LAST_PRICE")</f>
        <v>353.6</v>
      </c>
      <c r="D119">
        <f>_xll.BDP("CRWD UW Equity","LAST_PRICE")</f>
        <v>353.6</v>
      </c>
      <c r="E119">
        <f>_xll.BDP("CRWD UW Equity","LAST_PRICE")</f>
        <v>353.6</v>
      </c>
      <c r="F119">
        <f>_xll.BDP("CRWD UW Equity","RT_PX_CHG_PCT_1D")</f>
        <v>-3.2955000400543213</v>
      </c>
      <c r="G119">
        <f>_xll.BDP("CRWD UW Equity","REALTIME_5_DAY_CHANGE_PERCENT")</f>
        <v>1.9608000000000001</v>
      </c>
      <c r="H119">
        <f>_xll.BDP("CRWD UW Equity","CHG_PCT_1M_RT")</f>
        <v>7.1417999999999999</v>
      </c>
      <c r="I119">
        <f>_xll.BDP("CRWD UW Equity","CHG_PCT_3M_RT")</f>
        <v>43.401699999999998</v>
      </c>
      <c r="J119">
        <f>_xll.BDP("CRWD UW Equity","CHG_PCT_YTD_RT")</f>
        <v>38.492899999999999</v>
      </c>
    </row>
    <row r="120" spans="1:10" x14ac:dyDescent="0.25">
      <c r="A120" t="s">
        <v>127</v>
      </c>
      <c r="B120">
        <f>_xll.BDP("CSCO UW Equity","LAST_PRICE")</f>
        <v>58.95</v>
      </c>
      <c r="C120">
        <f>_xll.BDP("CSCO UW Equity","LAST_PRICE")</f>
        <v>58.95</v>
      </c>
      <c r="D120">
        <f>_xll.BDP("CSCO UW Equity","LAST_PRICE")</f>
        <v>58.95</v>
      </c>
      <c r="E120">
        <f>_xll.BDP("CSCO UW Equity","LAST_PRICE")</f>
        <v>58.95</v>
      </c>
      <c r="F120">
        <f>_xll.BDP("CSCO UW Equity","RT_PX_CHG_PCT_1D")</f>
        <v>-1.5694999694824219</v>
      </c>
      <c r="G120">
        <f>_xll.BDP("CSCO UW Equity","REALTIME_5_DAY_CHANGE_PERCENT")</f>
        <v>-0.80769999999999997</v>
      </c>
      <c r="H120">
        <f>_xll.BDP("CSCO UW Equity","CHG_PCT_1M_RT")</f>
        <v>1.5328999999999999</v>
      </c>
      <c r="I120">
        <f>_xll.BDP("CSCO UW Equity","CHG_PCT_3M_RT")</f>
        <v>21.0472</v>
      </c>
      <c r="J120">
        <f>_xll.BDP("CSCO UW Equity","CHG_PCT_YTD_RT")</f>
        <v>16.686499999999999</v>
      </c>
    </row>
    <row r="121" spans="1:10" x14ac:dyDescent="0.25">
      <c r="A121" t="s">
        <v>128</v>
      </c>
      <c r="B121">
        <f>_xll.BDP("CSGP UW Equity","LAST_PRICE")</f>
        <v>78.650000000000006</v>
      </c>
      <c r="C121">
        <f>_xll.BDP("CSGP UW Equity","LAST_PRICE")</f>
        <v>78.650000000000006</v>
      </c>
      <c r="D121">
        <f>_xll.BDP("CSGP UW Equity","LAST_PRICE")</f>
        <v>78.650000000000006</v>
      </c>
      <c r="E121">
        <f>_xll.BDP("CSGP UW Equity","LAST_PRICE")</f>
        <v>78.650000000000006</v>
      </c>
      <c r="F121">
        <f>_xll.BDP("CSGP UW Equity","RT_PX_CHG_PCT_1D")</f>
        <v>1.7201000452041626</v>
      </c>
      <c r="G121">
        <f>_xll.BDP("CSGP UW Equity","REALTIME_5_DAY_CHANGE_PERCENT")</f>
        <v>-1.7734000000000001</v>
      </c>
      <c r="H121">
        <f>_xll.BDP("CSGP UW Equity","CHG_PCT_1M_RT")</f>
        <v>1.6281000000000001</v>
      </c>
      <c r="I121">
        <f>_xll.BDP("CSGP UW Equity","CHG_PCT_3M_RT")</f>
        <v>-1.1065</v>
      </c>
      <c r="J121">
        <f>_xll.BDP("CSGP UW Equity","CHG_PCT_YTD_RT")</f>
        <v>-10.001099999999999</v>
      </c>
    </row>
    <row r="122" spans="1:10" x14ac:dyDescent="0.25">
      <c r="A122" t="s">
        <v>129</v>
      </c>
      <c r="B122">
        <f>_xll.BDP("CSX UW Equity","LAST_PRICE")</f>
        <v>33.97</v>
      </c>
      <c r="C122">
        <f>_xll.BDP("CSX UW Equity","LAST_PRICE")</f>
        <v>33.97</v>
      </c>
      <c r="D122">
        <f>_xll.BDP("CSX UW Equity","LAST_PRICE")</f>
        <v>33.97</v>
      </c>
      <c r="E122">
        <f>_xll.BDP("CSX UW Equity","LAST_PRICE")</f>
        <v>33.97</v>
      </c>
      <c r="F122">
        <f>_xll.BDP("CSX UW Equity","RT_PX_CHG_PCT_1D")</f>
        <v>-1.3933000564575195</v>
      </c>
      <c r="G122">
        <f>_xll.BDP("CSX UW Equity","REALTIME_5_DAY_CHANGE_PERCENT")</f>
        <v>-6.5217000000000001</v>
      </c>
      <c r="H122">
        <f>_xll.BDP("CSX UW Equity","CHG_PCT_1M_RT")</f>
        <v>-5.6388999999999996</v>
      </c>
      <c r="I122">
        <f>_xll.BDP("CSX UW Equity","CHG_PCT_3M_RT")</f>
        <v>0.622</v>
      </c>
      <c r="J122">
        <f>_xll.BDP("CSX UW Equity","CHG_PCT_YTD_RT")</f>
        <v>-2.0190000000000001</v>
      </c>
    </row>
    <row r="123" spans="1:10" x14ac:dyDescent="0.25">
      <c r="A123" t="s">
        <v>130</v>
      </c>
      <c r="B123">
        <f>_xll.BDP("CTAS UW Equity","LAST_PRICE")</f>
        <v>208.3</v>
      </c>
      <c r="C123">
        <f>_xll.BDP("CTAS UW Equity","LAST_PRICE")</f>
        <v>208.3</v>
      </c>
      <c r="D123">
        <f>_xll.BDP("CTAS UW Equity","LAST_PRICE")</f>
        <v>208.3</v>
      </c>
      <c r="E123">
        <f>_xll.BDP("CTAS UW Equity","LAST_PRICE")</f>
        <v>208.3</v>
      </c>
      <c r="F123">
        <f>_xll.BDP("CTAS UW Equity","RT_PX_CHG_PCT_1D")</f>
        <v>-6.8884000778198242</v>
      </c>
      <c r="G123">
        <f>_xll.BDP("CTAS UW Equity","REALTIME_5_DAY_CHANGE_PERCENT")</f>
        <v>-6.4409000000000001</v>
      </c>
      <c r="H123">
        <f>_xll.BDP("CTAS UW Equity","CHG_PCT_1M_RT")</f>
        <v>-7.7175000000000002</v>
      </c>
      <c r="I123">
        <f>_xll.BDP("CTAS UW Equity","CHG_PCT_3M_RT")</f>
        <v>3.5390999999999999</v>
      </c>
      <c r="J123">
        <f>_xll.BDP("CTAS UW Equity","CHG_PCT_YTD_RT")</f>
        <v>38.253700000000002</v>
      </c>
    </row>
    <row r="124" spans="1:10" x14ac:dyDescent="0.25">
      <c r="A124" t="s">
        <v>131</v>
      </c>
      <c r="B124">
        <f>_xll.BDP("CTLT UN Equity","LAST_PRICE")</f>
        <v>62.37</v>
      </c>
      <c r="C124">
        <f>_xll.BDP("CTLT UN Equity","LAST_PRICE")</f>
        <v>62.37</v>
      </c>
      <c r="D124">
        <f>_xll.BDP("CTLT UN Equity","LAST_PRICE")</f>
        <v>62.37</v>
      </c>
      <c r="E124">
        <f>_xll.BDP("CTLT UN Equity","LAST_PRICE")</f>
        <v>62.37</v>
      </c>
      <c r="F124">
        <f>_xll.BDP("CTLT UN Equity","RT_PX_CHG_PCT_1D")</f>
        <v>0.87339997291564941</v>
      </c>
      <c r="G124">
        <f>_xll.BDP("CTLT UN Equity","REALTIME_5_DAY_CHANGE_PERCENT")</f>
        <v>1.5302</v>
      </c>
      <c r="H124">
        <f>_xll.BDP("CTLT UN Equity","CHG_PCT_1M_RT")</f>
        <v>4.9823000000000004</v>
      </c>
      <c r="I124">
        <f>_xll.BDP("CTLT UN Equity","CHG_PCT_3M_RT")</f>
        <v>4.1062000000000003</v>
      </c>
      <c r="J124">
        <f>_xll.BDP("CTLT UN Equity","CHG_PCT_YTD_RT")</f>
        <v>38.815899999999999</v>
      </c>
    </row>
    <row r="125" spans="1:10" x14ac:dyDescent="0.25">
      <c r="A125" t="s">
        <v>132</v>
      </c>
      <c r="B125">
        <f>_xll.BDP("CTRA UN Equity","LAST_PRICE")</f>
        <v>24.86</v>
      </c>
      <c r="C125">
        <f>_xll.BDP("CTRA UN Equity","LAST_PRICE")</f>
        <v>24.86</v>
      </c>
      <c r="D125">
        <f>_xll.BDP("CTRA UN Equity","LAST_PRICE")</f>
        <v>24.86</v>
      </c>
      <c r="E125">
        <f>_xll.BDP("CTRA UN Equity","LAST_PRICE")</f>
        <v>24.86</v>
      </c>
      <c r="F125">
        <f>_xll.BDP("CTRA UN Equity","RT_PX_CHG_PCT_1D")</f>
        <v>-0.28080001473426819</v>
      </c>
      <c r="G125">
        <f>_xll.BDP("CTRA UN Equity","REALTIME_5_DAY_CHANGE_PERCENT")</f>
        <v>-4.7144000000000004</v>
      </c>
      <c r="H125">
        <f>_xll.BDP("CTRA UN Equity","CHG_PCT_1M_RT")</f>
        <v>1.1391</v>
      </c>
      <c r="I125">
        <f>_xll.BDP("CTRA UN Equity","CHG_PCT_3M_RT")</f>
        <v>9.0350999999999999</v>
      </c>
      <c r="J125">
        <f>_xll.BDP("CTRA UN Equity","CHG_PCT_YTD_RT")</f>
        <v>-2.5861999999999998</v>
      </c>
    </row>
    <row r="126" spans="1:10" x14ac:dyDescent="0.25">
      <c r="A126" t="s">
        <v>133</v>
      </c>
      <c r="B126">
        <f>_xll.BDP("CTSH UW Equity","LAST_PRICE")</f>
        <v>80.64</v>
      </c>
      <c r="C126">
        <f>_xll.BDP("CTSH UW Equity","LAST_PRICE")</f>
        <v>80.64</v>
      </c>
      <c r="D126">
        <f>_xll.BDP("CTSH UW Equity","LAST_PRICE")</f>
        <v>80.64</v>
      </c>
      <c r="E126">
        <f>_xll.BDP("CTSH UW Equity","LAST_PRICE")</f>
        <v>80.64</v>
      </c>
      <c r="F126">
        <f>_xll.BDP("CTSH UW Equity","RT_PX_CHG_PCT_1D")</f>
        <v>-0.62230002880096436</v>
      </c>
      <c r="G126">
        <f>_xll.BDP("CTSH UW Equity","REALTIME_5_DAY_CHANGE_PERCENT")</f>
        <v>-0.22270000000000001</v>
      </c>
      <c r="H126">
        <f>_xll.BDP("CTSH UW Equity","CHG_PCT_1M_RT")</f>
        <v>0.41089999999999999</v>
      </c>
      <c r="I126">
        <f>_xll.BDP("CTSH UW Equity","CHG_PCT_3M_RT")</f>
        <v>5.9241000000000001</v>
      </c>
      <c r="J126">
        <f>_xll.BDP("CTSH UW Equity","CHG_PCT_YTD_RT")</f>
        <v>6.7655000000000003</v>
      </c>
    </row>
    <row r="127" spans="1:10" x14ac:dyDescent="0.25">
      <c r="A127" t="s">
        <v>134</v>
      </c>
      <c r="B127">
        <f>_xll.BDP("CTVA UN Equity","LAST_PRICE")</f>
        <v>59.74</v>
      </c>
      <c r="C127">
        <f>_xll.BDP("CTVA UN Equity","LAST_PRICE")</f>
        <v>59.74</v>
      </c>
      <c r="D127">
        <f>_xll.BDP("CTVA UN Equity","LAST_PRICE")</f>
        <v>59.74</v>
      </c>
      <c r="E127">
        <f>_xll.BDP("CTVA UN Equity","LAST_PRICE")</f>
        <v>59.74</v>
      </c>
      <c r="F127">
        <f>_xll.BDP("CTVA UN Equity","RT_PX_CHG_PCT_1D")</f>
        <v>0.42019999027252197</v>
      </c>
      <c r="G127">
        <f>_xll.BDP("CTVA UN Equity","REALTIME_5_DAY_CHANGE_PERCENT")</f>
        <v>-4.0012999999999996</v>
      </c>
      <c r="H127">
        <f>_xll.BDP("CTVA UN Equity","CHG_PCT_1M_RT")</f>
        <v>2.4173</v>
      </c>
      <c r="I127">
        <f>_xll.BDP("CTVA UN Equity","CHG_PCT_3M_RT")</f>
        <v>7.0609000000000002</v>
      </c>
      <c r="J127">
        <f>_xll.BDP("CTVA UN Equity","CHG_PCT_YTD_RT")</f>
        <v>24.6661</v>
      </c>
    </row>
    <row r="128" spans="1:10" x14ac:dyDescent="0.25">
      <c r="A128" t="s">
        <v>135</v>
      </c>
      <c r="B128">
        <f>_xll.BDP("CVS UN Equity","LAST_PRICE")</f>
        <v>56.07</v>
      </c>
      <c r="C128">
        <f>_xll.BDP("CVS UN Equity","LAST_PRICE")</f>
        <v>56.07</v>
      </c>
      <c r="D128">
        <f>_xll.BDP("CVS UN Equity","LAST_PRICE")</f>
        <v>56.07</v>
      </c>
      <c r="E128">
        <f>_xll.BDP("CVS UN Equity","LAST_PRICE")</f>
        <v>56.07</v>
      </c>
      <c r="F128">
        <f>_xll.BDP("CVS UN Equity","RT_PX_CHG_PCT_1D")</f>
        <v>1.4106999635696411</v>
      </c>
      <c r="G128">
        <f>_xll.BDP("CVS UN Equity","REALTIME_5_DAY_CHANGE_PERCENT")</f>
        <v>-5.0948000000000002</v>
      </c>
      <c r="H128">
        <f>_xll.BDP("CVS UN Equity","CHG_PCT_1M_RT")</f>
        <v>0.95430000000000004</v>
      </c>
      <c r="I128">
        <f>_xll.BDP("CVS UN Equity","CHG_PCT_3M_RT")</f>
        <v>-0.70830000000000004</v>
      </c>
      <c r="J128">
        <f>_xll.BDP("CVS UN Equity","CHG_PCT_YTD_RT")</f>
        <v>-28.9894</v>
      </c>
    </row>
    <row r="129" spans="1:10" x14ac:dyDescent="0.25">
      <c r="A129" t="s">
        <v>136</v>
      </c>
      <c r="B129">
        <f>_xll.BDP("CVX UN Equity","LAST_PRICE")</f>
        <v>157.08000000000001</v>
      </c>
      <c r="C129">
        <f>_xll.BDP("CVX UN Equity","LAST_PRICE")</f>
        <v>157.08000000000001</v>
      </c>
      <c r="D129">
        <f>_xll.BDP("CVX UN Equity","LAST_PRICE")</f>
        <v>157.08000000000001</v>
      </c>
      <c r="E129">
        <f>_xll.BDP("CVX UN Equity","LAST_PRICE")</f>
        <v>157.08000000000001</v>
      </c>
      <c r="F129">
        <f>_xll.BDP("CVX UN Equity","RT_PX_CHG_PCT_1D")</f>
        <v>1.1852999925613403</v>
      </c>
      <c r="G129">
        <f>_xll.BDP("CVX UN Equity","REALTIME_5_DAY_CHANGE_PERCENT")</f>
        <v>-3.1625999999999999</v>
      </c>
      <c r="H129">
        <f>_xll.BDP("CVX UN Equity","CHG_PCT_1M_RT")</f>
        <v>9.5600000000000004E-2</v>
      </c>
      <c r="I129">
        <f>_xll.BDP("CVX UN Equity","CHG_PCT_3M_RT")</f>
        <v>11.960100000000001</v>
      </c>
      <c r="J129">
        <f>_xll.BDP("CVX UN Equity","CHG_PCT_YTD_RT")</f>
        <v>5.3097000000000003</v>
      </c>
    </row>
    <row r="130" spans="1:10" x14ac:dyDescent="0.25">
      <c r="A130" t="s">
        <v>137</v>
      </c>
      <c r="B130">
        <f>_xll.BDP("CZR UW Equity","LAST_PRICE")</f>
        <v>36.659999999999997</v>
      </c>
      <c r="C130">
        <f>_xll.BDP("CZR UW Equity","LAST_PRICE")</f>
        <v>36.659999999999997</v>
      </c>
      <c r="D130">
        <f>_xll.BDP("CZR UW Equity","LAST_PRICE")</f>
        <v>36.659999999999997</v>
      </c>
      <c r="E130">
        <f>_xll.BDP("CZR UW Equity","LAST_PRICE")</f>
        <v>36.659999999999997</v>
      </c>
      <c r="F130">
        <f>_xll.BDP("CZR UW Equity","RT_PX_CHG_PCT_1D")</f>
        <v>-2.5</v>
      </c>
      <c r="G130">
        <f>_xll.BDP("CZR UW Equity","REALTIME_5_DAY_CHANGE_PERCENT")</f>
        <v>-6.0240999999999998</v>
      </c>
      <c r="H130">
        <f>_xll.BDP("CZR UW Equity","CHG_PCT_1M_RT")</f>
        <v>-10.235099999999999</v>
      </c>
      <c r="I130">
        <f>_xll.BDP("CZR UW Equity","CHG_PCT_3M_RT")</f>
        <v>1.8332999999999999</v>
      </c>
      <c r="J130">
        <f>_xll.BDP("CZR UW Equity","CHG_PCT_YTD_RT")</f>
        <v>-21.8003</v>
      </c>
    </row>
    <row r="131" spans="1:10" x14ac:dyDescent="0.25">
      <c r="A131" t="s">
        <v>138</v>
      </c>
      <c r="B131">
        <f>_xll.BDP("D UN Equity","LAST_PRICE")</f>
        <v>55.59</v>
      </c>
      <c r="C131">
        <f>_xll.BDP("D UN Equity","LAST_PRICE")</f>
        <v>55.59</v>
      </c>
      <c r="D131">
        <f>_xll.BDP("D UN Equity","LAST_PRICE")</f>
        <v>55.59</v>
      </c>
      <c r="E131">
        <f>_xll.BDP("D UN Equity","LAST_PRICE")</f>
        <v>55.59</v>
      </c>
      <c r="F131">
        <f>_xll.BDP("D UN Equity","RT_PX_CHG_PCT_1D")</f>
        <v>-0.82069998979568481</v>
      </c>
      <c r="G131">
        <f>_xll.BDP("D UN Equity","REALTIME_5_DAY_CHANGE_PERCENT")</f>
        <v>-3.052</v>
      </c>
      <c r="H131">
        <f>_xll.BDP("D UN Equity","CHG_PCT_1M_RT")</f>
        <v>-3.8069000000000002</v>
      </c>
      <c r="I131">
        <f>_xll.BDP("D UN Equity","CHG_PCT_3M_RT")</f>
        <v>-3.1027</v>
      </c>
      <c r="J131">
        <f>_xll.BDP("D UN Equity","CHG_PCT_YTD_RT")</f>
        <v>18.276599999999998</v>
      </c>
    </row>
    <row r="132" spans="1:10" x14ac:dyDescent="0.25">
      <c r="A132" t="s">
        <v>139</v>
      </c>
      <c r="B132">
        <f>_xll.BDP("DAL UN Equity","LAST_PRICE")</f>
        <v>62.26</v>
      </c>
      <c r="C132">
        <f>_xll.BDP("DAL UN Equity","LAST_PRICE")</f>
        <v>62.26</v>
      </c>
      <c r="D132">
        <f>_xll.BDP("DAL UN Equity","LAST_PRICE")</f>
        <v>62.26</v>
      </c>
      <c r="E132">
        <f>_xll.BDP("DAL UN Equity","LAST_PRICE")</f>
        <v>62.26</v>
      </c>
      <c r="F132">
        <f>_xll.BDP("DAL UN Equity","RT_PX_CHG_PCT_1D")</f>
        <v>-3.5176999568939209</v>
      </c>
      <c r="G132">
        <f>_xll.BDP("DAL UN Equity","REALTIME_5_DAY_CHANGE_PERCENT")</f>
        <v>-1.8136000000000001</v>
      </c>
      <c r="H132">
        <f>_xll.BDP("DAL UN Equity","CHG_PCT_1M_RT")</f>
        <v>1.982</v>
      </c>
      <c r="I132">
        <f>_xll.BDP("DAL UN Equity","CHG_PCT_3M_RT")</f>
        <v>42.5366</v>
      </c>
      <c r="J132">
        <f>_xll.BDP("DAL UN Equity","CHG_PCT_YTD_RT")</f>
        <v>54.760100000000001</v>
      </c>
    </row>
    <row r="133" spans="1:10" x14ac:dyDescent="0.25">
      <c r="A133" t="s">
        <v>140</v>
      </c>
      <c r="B133">
        <f>_xll.BDP("DAY UN Equity","LAST_PRICE")</f>
        <v>79.23</v>
      </c>
      <c r="C133">
        <f>_xll.BDP("DAY UN Equity","LAST_PRICE")</f>
        <v>79.23</v>
      </c>
      <c r="D133">
        <f>_xll.BDP("DAY UN Equity","LAST_PRICE")</f>
        <v>79.23</v>
      </c>
      <c r="E133">
        <f>_xll.BDP("DAY UN Equity","LAST_PRICE")</f>
        <v>79.23</v>
      </c>
      <c r="F133">
        <f>_xll.BDP("DAY UN Equity","RT_PX_CHG_PCT_1D")</f>
        <v>0.85290002822875977</v>
      </c>
      <c r="G133">
        <f>_xll.BDP("DAY UN Equity","REALTIME_5_DAY_CHANGE_PERCENT")</f>
        <v>-2.6539000000000001</v>
      </c>
      <c r="H133">
        <f>_xll.BDP("DAY UN Equity","CHG_PCT_1M_RT")</f>
        <v>-2.3540000000000001</v>
      </c>
      <c r="I133">
        <f>_xll.BDP("DAY UN Equity","CHG_PCT_3M_RT")</f>
        <v>39.4649</v>
      </c>
      <c r="J133">
        <f>_xll.BDP("DAY UN Equity","CHG_PCT_YTD_RT")</f>
        <v>18.042300000000001</v>
      </c>
    </row>
    <row r="134" spans="1:10" x14ac:dyDescent="0.25">
      <c r="A134" t="s">
        <v>141</v>
      </c>
      <c r="B134">
        <f>_xll.BDP("DD UN Equity","LAST_PRICE")</f>
        <v>83.54</v>
      </c>
      <c r="C134">
        <f>_xll.BDP("DD UN Equity","LAST_PRICE")</f>
        <v>83.54</v>
      </c>
      <c r="D134">
        <f>_xll.BDP("DD UN Equity","LAST_PRICE")</f>
        <v>83.54</v>
      </c>
      <c r="E134">
        <f>_xll.BDP("DD UN Equity","LAST_PRICE")</f>
        <v>83.54</v>
      </c>
      <c r="F134">
        <f>_xll.BDP("DD UN Equity","RT_PX_CHG_PCT_1D")</f>
        <v>0.8694000244140625</v>
      </c>
      <c r="G134">
        <f>_xll.BDP("DD UN Equity","REALTIME_5_DAY_CHANGE_PERCENT")</f>
        <v>-0.215</v>
      </c>
      <c r="H134">
        <f>_xll.BDP("DD UN Equity","CHG_PCT_1M_RT")</f>
        <v>-0.74850000000000005</v>
      </c>
      <c r="I134">
        <f>_xll.BDP("DD UN Equity","CHG_PCT_3M_RT")</f>
        <v>5.0025000000000004</v>
      </c>
      <c r="J134">
        <f>_xll.BDP("DD UN Equity","CHG_PCT_YTD_RT")</f>
        <v>8.5922000000000001</v>
      </c>
    </row>
    <row r="135" spans="1:10" x14ac:dyDescent="0.25">
      <c r="A135" t="s">
        <v>142</v>
      </c>
      <c r="B135">
        <f>_xll.BDP("DE UN Equity","LAST_PRICE")</f>
        <v>449.41</v>
      </c>
      <c r="C135">
        <f>_xll.BDP("DE UN Equity","LAST_PRICE")</f>
        <v>449.41</v>
      </c>
      <c r="D135">
        <f>_xll.BDP("DE UN Equity","LAST_PRICE")</f>
        <v>449.41</v>
      </c>
      <c r="E135">
        <f>_xll.BDP("DE UN Equity","LAST_PRICE")</f>
        <v>449.41</v>
      </c>
      <c r="F135">
        <f>_xll.BDP("DE UN Equity","RT_PX_CHG_PCT_1D")</f>
        <v>1.218500018119812</v>
      </c>
      <c r="G135">
        <f>_xll.BDP("DE UN Equity","REALTIME_5_DAY_CHANGE_PERCENT")</f>
        <v>-2.9247000000000001</v>
      </c>
      <c r="H135">
        <f>_xll.BDP("DE UN Equity","CHG_PCT_1M_RT")</f>
        <v>14.046099999999999</v>
      </c>
      <c r="I135">
        <f>_xll.BDP("DE UN Equity","CHG_PCT_3M_RT")</f>
        <v>16.057600000000001</v>
      </c>
      <c r="J135">
        <f>_xll.BDP("DE UN Equity","CHG_PCT_YTD_RT")</f>
        <v>12.388999999999999</v>
      </c>
    </row>
    <row r="136" spans="1:10" x14ac:dyDescent="0.25">
      <c r="A136" t="s">
        <v>143</v>
      </c>
      <c r="B136">
        <f>_xll.BDP("DECK UN Equity","LAST_PRICE")</f>
        <v>201.55</v>
      </c>
      <c r="C136">
        <f>_xll.BDP("DECK UN Equity","LAST_PRICE")</f>
        <v>201.55</v>
      </c>
      <c r="D136">
        <f>_xll.BDP("DECK UN Equity","LAST_PRICE")</f>
        <v>201.55</v>
      </c>
      <c r="E136">
        <f>_xll.BDP("DECK UN Equity","LAST_PRICE")</f>
        <v>201.55</v>
      </c>
      <c r="F136">
        <f>_xll.BDP("DECK UN Equity","RT_PX_CHG_PCT_1D")</f>
        <v>1.0023000240325928</v>
      </c>
      <c r="G136">
        <f>_xll.BDP("DECK UN Equity","REALTIME_5_DAY_CHANGE_PERCENT")</f>
        <v>-0.1734</v>
      </c>
      <c r="H136">
        <f>_xll.BDP("DECK UN Equity","CHG_PCT_1M_RT")</f>
        <v>14.7714</v>
      </c>
      <c r="I136">
        <f>_xll.BDP("DECK UN Equity","CHG_PCT_3M_RT")</f>
        <v>35.254800000000003</v>
      </c>
      <c r="J136">
        <f>_xll.BDP("DECK UN Equity","CHG_PCT_YTD_RT")</f>
        <v>80.916499999999999</v>
      </c>
    </row>
    <row r="137" spans="1:10" x14ac:dyDescent="0.25">
      <c r="A137" t="s">
        <v>144</v>
      </c>
      <c r="B137">
        <f>_xll.BDP("DELL UN Equity","LAST_PRICE")</f>
        <v>123.81</v>
      </c>
      <c r="C137">
        <f>_xll.BDP("DELL UN Equity","LAST_PRICE")</f>
        <v>123.81</v>
      </c>
      <c r="D137">
        <f>_xll.BDP("DELL UN Equity","LAST_PRICE")</f>
        <v>123.81</v>
      </c>
      <c r="E137">
        <f>_xll.BDP("DELL UN Equity","LAST_PRICE")</f>
        <v>123.81</v>
      </c>
      <c r="F137">
        <f>_xll.BDP("DELL UN Equity","RT_PX_CHG_PCT_1D")</f>
        <v>0.33230000734329224</v>
      </c>
      <c r="G137">
        <f>_xll.BDP("DELL UN Equity","REALTIME_5_DAY_CHANGE_PERCENT")</f>
        <v>-1.6132</v>
      </c>
      <c r="H137">
        <f>_xll.BDP("DELL UN Equity","CHG_PCT_1M_RT")</f>
        <v>-7.7628000000000004</v>
      </c>
      <c r="I137">
        <f>_xll.BDP("DELL UN Equity","CHG_PCT_3M_RT")</f>
        <v>16.923200000000001</v>
      </c>
      <c r="J137">
        <f>_xll.BDP("DELL UN Equity","CHG_PCT_YTD_RT")</f>
        <v>61.8431</v>
      </c>
    </row>
    <row r="138" spans="1:10" x14ac:dyDescent="0.25">
      <c r="A138" t="s">
        <v>145</v>
      </c>
      <c r="B138">
        <f>_xll.BDP("DFS UN Equity","LAST_PRICE")</f>
        <v>176.76</v>
      </c>
      <c r="C138">
        <f>_xll.BDP("DFS UN Equity","LAST_PRICE")</f>
        <v>176.76</v>
      </c>
      <c r="D138">
        <f>_xll.BDP("DFS UN Equity","LAST_PRICE")</f>
        <v>176.76</v>
      </c>
      <c r="E138">
        <f>_xll.BDP("DFS UN Equity","LAST_PRICE")</f>
        <v>176.76</v>
      </c>
      <c r="F138">
        <f>_xll.BDP("DFS UN Equity","RT_PX_CHG_PCT_1D")</f>
        <v>-1.3725999593734741</v>
      </c>
      <c r="G138">
        <f>_xll.BDP("DFS UN Equity","REALTIME_5_DAY_CHANGE_PERCENT")</f>
        <v>-1.86</v>
      </c>
      <c r="H138">
        <f>_xll.BDP("DFS UN Equity","CHG_PCT_1M_RT")</f>
        <v>0.91920000000000002</v>
      </c>
      <c r="I138">
        <f>_xll.BDP("DFS UN Equity","CHG_PCT_3M_RT")</f>
        <v>32.573300000000003</v>
      </c>
      <c r="J138">
        <f>_xll.BDP("DFS UN Equity","CHG_PCT_YTD_RT")</f>
        <v>57.259799999999998</v>
      </c>
    </row>
    <row r="139" spans="1:10" x14ac:dyDescent="0.25">
      <c r="A139" t="s">
        <v>146</v>
      </c>
      <c r="B139">
        <f>_xll.BDP("DG UN Equity","LAST_PRICE")</f>
        <v>80.8</v>
      </c>
      <c r="C139">
        <f>_xll.BDP("DG UN Equity","LAST_PRICE")</f>
        <v>80.8</v>
      </c>
      <c r="D139">
        <f>_xll.BDP("DG UN Equity","LAST_PRICE")</f>
        <v>80.8</v>
      </c>
      <c r="E139">
        <f>_xll.BDP("DG UN Equity","LAST_PRICE")</f>
        <v>80.8</v>
      </c>
      <c r="F139">
        <f>_xll.BDP("DG UN Equity","RT_PX_CHG_PCT_1D")</f>
        <v>-0.9682999849319458</v>
      </c>
      <c r="G139">
        <f>_xll.BDP("DG UN Equity","REALTIME_5_DAY_CHANGE_PERCENT")</f>
        <v>3.8694000000000002</v>
      </c>
      <c r="H139">
        <f>_xll.BDP("DG UN Equity","CHG_PCT_1M_RT")</f>
        <v>5.0031999999999996</v>
      </c>
      <c r="I139">
        <f>_xll.BDP("DG UN Equity","CHG_PCT_3M_RT")</f>
        <v>-0.2223</v>
      </c>
      <c r="J139">
        <f>_xll.BDP("DG UN Equity","CHG_PCT_YTD_RT")</f>
        <v>-40.566400000000002</v>
      </c>
    </row>
    <row r="140" spans="1:10" x14ac:dyDescent="0.25">
      <c r="A140" t="s">
        <v>147</v>
      </c>
      <c r="B140">
        <f>_xll.BDP("DGX UN Equity","LAST_PRICE")</f>
        <v>158.19999999999999</v>
      </c>
      <c r="C140">
        <f>_xll.BDP("DGX UN Equity","LAST_PRICE")</f>
        <v>158.19999999999999</v>
      </c>
      <c r="D140">
        <f>_xll.BDP("DGX UN Equity","LAST_PRICE")</f>
        <v>158.19999999999999</v>
      </c>
      <c r="E140">
        <f>_xll.BDP("DGX UN Equity","LAST_PRICE")</f>
        <v>158.19999999999999</v>
      </c>
      <c r="F140">
        <f>_xll.BDP("DGX UN Equity","RT_PX_CHG_PCT_1D")</f>
        <v>0.54019999504089355</v>
      </c>
      <c r="G140">
        <f>_xll.BDP("DGX UN Equity","REALTIME_5_DAY_CHANGE_PERCENT")</f>
        <v>-2.0493999999999999</v>
      </c>
      <c r="H140">
        <f>_xll.BDP("DGX UN Equity","CHG_PCT_1M_RT")</f>
        <v>-0.73409999999999997</v>
      </c>
      <c r="I140">
        <f>_xll.BDP("DGX UN Equity","CHG_PCT_3M_RT")</f>
        <v>2.5341999999999998</v>
      </c>
      <c r="J140">
        <f>_xll.BDP("DGX UN Equity","CHG_PCT_YTD_RT")</f>
        <v>14.737500000000001</v>
      </c>
    </row>
    <row r="141" spans="1:10" x14ac:dyDescent="0.25">
      <c r="A141" t="s">
        <v>148</v>
      </c>
      <c r="B141">
        <f>_xll.BDP("DHI UN Equity","LAST_PRICE")</f>
        <v>160.96</v>
      </c>
      <c r="C141">
        <f>_xll.BDP("DHI UN Equity","LAST_PRICE")</f>
        <v>160.96</v>
      </c>
      <c r="D141">
        <f>_xll.BDP("DHI UN Equity","LAST_PRICE")</f>
        <v>160.96</v>
      </c>
      <c r="E141">
        <f>_xll.BDP("DHI UN Equity","LAST_PRICE")</f>
        <v>160.96</v>
      </c>
      <c r="F141">
        <f>_xll.BDP("DHI UN Equity","RT_PX_CHG_PCT_1D")</f>
        <v>1.5456000566482544</v>
      </c>
      <c r="G141">
        <f>_xll.BDP("DHI UN Equity","REALTIME_5_DAY_CHANGE_PERCENT")</f>
        <v>-3.8471000000000002</v>
      </c>
      <c r="H141">
        <f>_xll.BDP("DHI UN Equity","CHG_PCT_1M_RT")</f>
        <v>-4.6388999999999996</v>
      </c>
      <c r="I141">
        <f>_xll.BDP("DHI UN Equity","CHG_PCT_3M_RT")</f>
        <v>-14.1638</v>
      </c>
      <c r="J141">
        <f>_xll.BDP("DHI UN Equity","CHG_PCT_YTD_RT")</f>
        <v>5.9086999999999996</v>
      </c>
    </row>
    <row r="142" spans="1:10" x14ac:dyDescent="0.25">
      <c r="A142" t="s">
        <v>149</v>
      </c>
      <c r="B142">
        <f>_xll.BDP("DHR UN Equity","LAST_PRICE")</f>
        <v>235.91</v>
      </c>
      <c r="C142">
        <f>_xll.BDP("DHR UN Equity","LAST_PRICE")</f>
        <v>235.91</v>
      </c>
      <c r="D142">
        <f>_xll.BDP("DHR UN Equity","LAST_PRICE")</f>
        <v>235.91</v>
      </c>
      <c r="E142">
        <f>_xll.BDP("DHR UN Equity","LAST_PRICE")</f>
        <v>235.91</v>
      </c>
      <c r="F142">
        <f>_xll.BDP("DHR UN Equity","RT_PX_CHG_PCT_1D")</f>
        <v>2.5160999298095703</v>
      </c>
      <c r="G142">
        <f>_xll.BDP("DHR UN Equity","REALTIME_5_DAY_CHANGE_PERCENT")</f>
        <v>-2.2296999999999998</v>
      </c>
      <c r="H142">
        <f>_xll.BDP("DHR UN Equity","CHG_PCT_1M_RT")</f>
        <v>-3.8632</v>
      </c>
      <c r="I142">
        <f>_xll.BDP("DHR UN Equity","CHG_PCT_3M_RT")</f>
        <v>-13.614599999999999</v>
      </c>
      <c r="J142">
        <f>_xll.BDP("DHR UN Equity","CHG_PCT_YTD_RT")</f>
        <v>1.9754</v>
      </c>
    </row>
    <row r="143" spans="1:10" x14ac:dyDescent="0.25">
      <c r="A143" t="s">
        <v>150</v>
      </c>
      <c r="B143">
        <f>_xll.BDP("DIS UN Equity","LAST_PRICE")</f>
        <v>114.61</v>
      </c>
      <c r="C143">
        <f>_xll.BDP("DIS UN Equity","LAST_PRICE")</f>
        <v>114.61</v>
      </c>
      <c r="D143">
        <f>_xll.BDP("DIS UN Equity","LAST_PRICE")</f>
        <v>114.61</v>
      </c>
      <c r="E143">
        <f>_xll.BDP("DIS UN Equity","LAST_PRICE")</f>
        <v>114.61</v>
      </c>
      <c r="F143">
        <f>_xll.BDP("DIS UN Equity","RT_PX_CHG_PCT_1D")</f>
        <v>-1.8162000179290771</v>
      </c>
      <c r="G143">
        <f>_xll.BDP("DIS UN Equity","REALTIME_5_DAY_CHANGE_PERCENT")</f>
        <v>-2.1764999999999999</v>
      </c>
      <c r="H143">
        <f>_xll.BDP("DIS UN Equity","CHG_PCT_1M_RT")</f>
        <v>15.744300000000001</v>
      </c>
      <c r="I143">
        <f>_xll.BDP("DIS UN Equity","CHG_PCT_3M_RT")</f>
        <v>29.737400000000001</v>
      </c>
      <c r="J143">
        <f>_xll.BDP("DIS UN Equity","CHG_PCT_YTD_RT")</f>
        <v>26.935400000000001</v>
      </c>
    </row>
    <row r="144" spans="1:10" x14ac:dyDescent="0.25">
      <c r="A144" t="s">
        <v>151</v>
      </c>
      <c r="B144">
        <f>_xll.BDP("DLR UN Equity","LAST_PRICE")</f>
        <v>188.17</v>
      </c>
      <c r="C144">
        <f>_xll.BDP("DLR UN Equity","LAST_PRICE")</f>
        <v>188.17</v>
      </c>
      <c r="D144">
        <f>_xll.BDP("DLR UN Equity","LAST_PRICE")</f>
        <v>188.17</v>
      </c>
      <c r="E144">
        <f>_xll.BDP("DLR UN Equity","LAST_PRICE")</f>
        <v>188.17</v>
      </c>
      <c r="F144">
        <f>_xll.BDP("DLR UN Equity","RT_PX_CHG_PCT_1D")</f>
        <v>-2.3457000255584717</v>
      </c>
      <c r="G144">
        <f>_xll.BDP("DLR UN Equity","REALTIME_5_DAY_CHANGE_PERCENT")</f>
        <v>-2.0764</v>
      </c>
      <c r="H144">
        <f>_xll.BDP("DLR UN Equity","CHG_PCT_1M_RT")</f>
        <v>3.4015</v>
      </c>
      <c r="I144">
        <f>_xll.BDP("DLR UN Equity","CHG_PCT_3M_RT")</f>
        <v>26.001100000000001</v>
      </c>
      <c r="J144">
        <f>_xll.BDP("DLR UN Equity","CHG_PCT_YTD_RT")</f>
        <v>39.8202</v>
      </c>
    </row>
    <row r="145" spans="1:10" x14ac:dyDescent="0.25">
      <c r="A145" t="s">
        <v>152</v>
      </c>
      <c r="B145">
        <f>_xll.BDP("DLTR UW Equity","LAST_PRICE")</f>
        <v>71.599999999999994</v>
      </c>
      <c r="C145">
        <f>_xll.BDP("DLTR UW Equity","LAST_PRICE")</f>
        <v>71.599999999999994</v>
      </c>
      <c r="D145">
        <f>_xll.BDP("DLTR UW Equity","LAST_PRICE")</f>
        <v>71.599999999999994</v>
      </c>
      <c r="E145">
        <f>_xll.BDP("DLTR UW Equity","LAST_PRICE")</f>
        <v>71.599999999999994</v>
      </c>
      <c r="F145">
        <f>_xll.BDP("DLTR UW Equity","RT_PX_CHG_PCT_1D")</f>
        <v>-0.37569999694824219</v>
      </c>
      <c r="G145">
        <f>_xll.BDP("DLTR UW Equity","REALTIME_5_DAY_CHANGE_PERCENT")</f>
        <v>-1.6618999999999999</v>
      </c>
      <c r="H145">
        <f>_xll.BDP("DLTR UW Equity","CHG_PCT_1M_RT")</f>
        <v>16.593399999999999</v>
      </c>
      <c r="I145">
        <f>_xll.BDP("DLTR UW Equity","CHG_PCT_3M_RT")</f>
        <v>6.1999000000000004</v>
      </c>
      <c r="J145">
        <f>_xll.BDP("DLTR UW Equity","CHG_PCT_YTD_RT")</f>
        <v>-49.595199999999998</v>
      </c>
    </row>
    <row r="146" spans="1:10" x14ac:dyDescent="0.25">
      <c r="A146" t="s">
        <v>153</v>
      </c>
      <c r="B146">
        <f>_xll.BDP("DOC UN Equity","LAST_PRICE")</f>
        <v>21.7</v>
      </c>
      <c r="C146">
        <f>_xll.BDP("DOC UN Equity","LAST_PRICE")</f>
        <v>21.7</v>
      </c>
      <c r="D146">
        <f>_xll.BDP("DOC UN Equity","LAST_PRICE")</f>
        <v>21.7</v>
      </c>
      <c r="E146">
        <f>_xll.BDP("DOC UN Equity","LAST_PRICE")</f>
        <v>21.7</v>
      </c>
      <c r="F146">
        <f>_xll.BDP("DOC UN Equity","RT_PX_CHG_PCT_1D")</f>
        <v>1.4967000484466553</v>
      </c>
      <c r="G146">
        <f>_xll.BDP("DOC UN Equity","REALTIME_5_DAY_CHANGE_PERCENT")</f>
        <v>0.23089999999999999</v>
      </c>
      <c r="H146">
        <f>_xll.BDP("DOC UN Equity","CHG_PCT_1M_RT")</f>
        <v>-4.6573000000000002</v>
      </c>
      <c r="I146">
        <f>_xll.BDP("DOC UN Equity","CHG_PCT_3M_RT")</f>
        <v>-1.9431</v>
      </c>
      <c r="J146">
        <f>_xll.BDP("DOC UN Equity","CHG_PCT_YTD_RT")</f>
        <v>9.5960000000000001</v>
      </c>
    </row>
    <row r="147" spans="1:10" x14ac:dyDescent="0.25">
      <c r="A147" t="s">
        <v>154</v>
      </c>
      <c r="B147">
        <f>_xll.BDP("DOV UN Equity","LAST_PRICE")</f>
        <v>201.74</v>
      </c>
      <c r="C147">
        <f>_xll.BDP("DOV UN Equity","LAST_PRICE")</f>
        <v>201.74</v>
      </c>
      <c r="D147">
        <f>_xll.BDP("DOV UN Equity","LAST_PRICE")</f>
        <v>201.74</v>
      </c>
      <c r="E147">
        <f>_xll.BDP("DOV UN Equity","LAST_PRICE")</f>
        <v>201.74</v>
      </c>
      <c r="F147">
        <f>_xll.BDP("DOV UN Equity","RT_PX_CHG_PCT_1D")</f>
        <v>0.13899999856948853</v>
      </c>
      <c r="G147">
        <f>_xll.BDP("DOV UN Equity","REALTIME_5_DAY_CHANGE_PERCENT")</f>
        <v>-1.446</v>
      </c>
      <c r="H147">
        <f>_xll.BDP("DOV UN Equity","CHG_PCT_1M_RT")</f>
        <v>0.1191</v>
      </c>
      <c r="I147">
        <f>_xll.BDP("DOV UN Equity","CHG_PCT_3M_RT")</f>
        <v>12.773199999999999</v>
      </c>
      <c r="J147">
        <f>_xll.BDP("DOV UN Equity","CHG_PCT_YTD_RT")</f>
        <v>31.161799999999999</v>
      </c>
    </row>
    <row r="148" spans="1:10" x14ac:dyDescent="0.25">
      <c r="A148" t="s">
        <v>155</v>
      </c>
      <c r="B148">
        <f>_xll.BDP("DOW UN Equity","LAST_PRICE")</f>
        <v>42.73</v>
      </c>
      <c r="C148">
        <f>_xll.BDP("DOW UN Equity","LAST_PRICE")</f>
        <v>42.73</v>
      </c>
      <c r="D148">
        <f>_xll.BDP("DOW UN Equity","LAST_PRICE")</f>
        <v>42.73</v>
      </c>
      <c r="E148">
        <f>_xll.BDP("DOW UN Equity","LAST_PRICE")</f>
        <v>42.73</v>
      </c>
      <c r="F148">
        <f>_xll.BDP("DOW UN Equity","RT_PX_CHG_PCT_1D")</f>
        <v>1.7623000144958496</v>
      </c>
      <c r="G148">
        <f>_xll.BDP("DOW UN Equity","REALTIME_5_DAY_CHANGE_PERCENT")</f>
        <v>-3.7179000000000002</v>
      </c>
      <c r="H148">
        <f>_xll.BDP("DOW UN Equity","CHG_PCT_1M_RT")</f>
        <v>-8.0877999999999997</v>
      </c>
      <c r="I148">
        <f>_xll.BDP("DOW UN Equity","CHG_PCT_3M_RT")</f>
        <v>-16.7057</v>
      </c>
      <c r="J148">
        <f>_xll.BDP("DOW UN Equity","CHG_PCT_YTD_RT")</f>
        <v>-22.0824</v>
      </c>
    </row>
    <row r="149" spans="1:10" x14ac:dyDescent="0.25">
      <c r="A149" t="s">
        <v>156</v>
      </c>
      <c r="B149">
        <f>_xll.BDP("DPZ UN Equity","LAST_PRICE")</f>
        <v>457.74</v>
      </c>
      <c r="C149">
        <f>_xll.BDP("DPZ UN Equity","LAST_PRICE")</f>
        <v>457.74</v>
      </c>
      <c r="D149">
        <f>_xll.BDP("DPZ UN Equity","LAST_PRICE")</f>
        <v>457.74</v>
      </c>
      <c r="E149">
        <f>_xll.BDP("DPZ UN Equity","LAST_PRICE")</f>
        <v>457.74</v>
      </c>
      <c r="F149">
        <f>_xll.BDP("DPZ UN Equity","RT_PX_CHG_PCT_1D")</f>
        <v>-0.40250000357627869</v>
      </c>
      <c r="G149">
        <f>_xll.BDP("DPZ UN Equity","REALTIME_5_DAY_CHANGE_PERCENT")</f>
        <v>-1.8105</v>
      </c>
      <c r="H149">
        <f>_xll.BDP("DPZ UN Equity","CHG_PCT_1M_RT")</f>
        <v>-0.43290000000000001</v>
      </c>
      <c r="I149">
        <f>_xll.BDP("DPZ UN Equity","CHG_PCT_3M_RT")</f>
        <v>8.9442000000000004</v>
      </c>
      <c r="J149">
        <f>_xll.BDP("DPZ UN Equity","CHG_PCT_YTD_RT")</f>
        <v>11.04</v>
      </c>
    </row>
    <row r="150" spans="1:10" x14ac:dyDescent="0.25">
      <c r="A150" t="s">
        <v>157</v>
      </c>
      <c r="B150">
        <f>_xll.BDP("DRI UN Equity","LAST_PRICE")</f>
        <v>168.64</v>
      </c>
      <c r="C150">
        <f>_xll.BDP("DRI UN Equity","LAST_PRICE")</f>
        <v>168.64</v>
      </c>
      <c r="D150">
        <f>_xll.BDP("DRI UN Equity","LAST_PRICE")</f>
        <v>168.64</v>
      </c>
      <c r="E150">
        <f>_xll.BDP("DRI UN Equity","LAST_PRICE")</f>
        <v>168.64</v>
      </c>
      <c r="F150">
        <f>_xll.BDP("DRI UN Equity","RT_PX_CHG_PCT_1D")</f>
        <v>-0.65390002727508545</v>
      </c>
      <c r="G150">
        <f>_xll.BDP("DRI UN Equity","REALTIME_5_DAY_CHANGE_PERCENT")</f>
        <v>-1.9535</v>
      </c>
      <c r="H150">
        <f>_xll.BDP("DRI UN Equity","CHG_PCT_1M_RT")</f>
        <v>0.1187</v>
      </c>
      <c r="I150">
        <f>_xll.BDP("DRI UN Equity","CHG_PCT_3M_RT")</f>
        <v>7.6128</v>
      </c>
      <c r="J150">
        <f>_xll.BDP("DRI UN Equity","CHG_PCT_YTD_RT")</f>
        <v>2.6415000000000002</v>
      </c>
    </row>
    <row r="151" spans="1:10" x14ac:dyDescent="0.25">
      <c r="A151" t="s">
        <v>158</v>
      </c>
      <c r="B151">
        <f>_xll.BDP("DTE UN Equity","LAST_PRICE")</f>
        <v>121.8</v>
      </c>
      <c r="C151">
        <f>_xll.BDP("DTE UN Equity","LAST_PRICE")</f>
        <v>121.8</v>
      </c>
      <c r="D151">
        <f>_xll.BDP("DTE UN Equity","LAST_PRICE")</f>
        <v>121.8</v>
      </c>
      <c r="E151">
        <f>_xll.BDP("DTE UN Equity","LAST_PRICE")</f>
        <v>121.8</v>
      </c>
      <c r="F151">
        <f>_xll.BDP("DTE UN Equity","RT_PX_CHG_PCT_1D")</f>
        <v>0.18919999897480011</v>
      </c>
      <c r="G151">
        <f>_xll.BDP("DTE UN Equity","REALTIME_5_DAY_CHANGE_PERCENT")</f>
        <v>-1.4562999999999999</v>
      </c>
      <c r="H151">
        <f>_xll.BDP("DTE UN Equity","CHG_PCT_1M_RT")</f>
        <v>3.3956</v>
      </c>
      <c r="I151">
        <f>_xll.BDP("DTE UN Equity","CHG_PCT_3M_RT")</f>
        <v>-2.2629000000000001</v>
      </c>
      <c r="J151">
        <f>_xll.BDP("DTE UN Equity","CHG_PCT_YTD_RT")</f>
        <v>10.466200000000001</v>
      </c>
    </row>
    <row r="152" spans="1:10" x14ac:dyDescent="0.25">
      <c r="A152" t="s">
        <v>159</v>
      </c>
      <c r="B152">
        <f>_xll.BDP("DUK UN Equity","LAST_PRICE")</f>
        <v>111.86</v>
      </c>
      <c r="C152">
        <f>_xll.BDP("DUK UN Equity","LAST_PRICE")</f>
        <v>111.86</v>
      </c>
      <c r="D152">
        <f>_xll.BDP("DUK UN Equity","LAST_PRICE")</f>
        <v>111.86</v>
      </c>
      <c r="E152">
        <f>_xll.BDP("DUK UN Equity","LAST_PRICE")</f>
        <v>111.86</v>
      </c>
      <c r="F152">
        <f>_xll.BDP("DUK UN Equity","RT_PX_CHG_PCT_1D")</f>
        <v>-0.21410000324249268</v>
      </c>
      <c r="G152">
        <f>_xll.BDP("DUK UN Equity","REALTIME_5_DAY_CHANGE_PERCENT")</f>
        <v>-2.8824000000000001</v>
      </c>
      <c r="H152">
        <f>_xll.BDP("DUK UN Equity","CHG_PCT_1M_RT")</f>
        <v>-1.2099</v>
      </c>
      <c r="I152">
        <f>_xll.BDP("DUK UN Equity","CHG_PCT_3M_RT")</f>
        <v>-4.5236999999999998</v>
      </c>
      <c r="J152">
        <f>_xll.BDP("DUK UN Equity","CHG_PCT_YTD_RT")</f>
        <v>15.2721</v>
      </c>
    </row>
    <row r="153" spans="1:10" x14ac:dyDescent="0.25">
      <c r="A153" t="s">
        <v>160</v>
      </c>
      <c r="B153">
        <f>_xll.BDP("DVA UN Equity","LAST_PRICE")</f>
        <v>158.06</v>
      </c>
      <c r="C153">
        <f>_xll.BDP("DVA UN Equity","LAST_PRICE")</f>
        <v>158.06</v>
      </c>
      <c r="D153">
        <f>_xll.BDP("DVA UN Equity","LAST_PRICE")</f>
        <v>158.06</v>
      </c>
      <c r="E153">
        <f>_xll.BDP("DVA UN Equity","LAST_PRICE")</f>
        <v>158.06</v>
      </c>
      <c r="F153">
        <f>_xll.BDP("DVA UN Equity","RT_PX_CHG_PCT_1D")</f>
        <v>-1.3666000366210938</v>
      </c>
      <c r="G153">
        <f>_xll.BDP("DVA UN Equity","REALTIME_5_DAY_CHANGE_PERCENT")</f>
        <v>-3.4689000000000001</v>
      </c>
      <c r="H153">
        <f>_xll.BDP("DVA UN Equity","CHG_PCT_1M_RT")</f>
        <v>5.6127000000000002</v>
      </c>
      <c r="I153">
        <f>_xll.BDP("DVA UN Equity","CHG_PCT_3M_RT")</f>
        <v>5.2050000000000001</v>
      </c>
      <c r="J153">
        <f>_xll.BDP("DVA UN Equity","CHG_PCT_YTD_RT")</f>
        <v>50.8782</v>
      </c>
    </row>
    <row r="154" spans="1:10" x14ac:dyDescent="0.25">
      <c r="A154" t="s">
        <v>161</v>
      </c>
      <c r="B154">
        <f>_xll.BDP("DVN UN Equity","LAST_PRICE")</f>
        <v>35.51</v>
      </c>
      <c r="C154">
        <f>_xll.BDP("DVN UN Equity","LAST_PRICE")</f>
        <v>35.51</v>
      </c>
      <c r="D154">
        <f>_xll.BDP("DVN UN Equity","LAST_PRICE")</f>
        <v>35.51</v>
      </c>
      <c r="E154">
        <f>_xll.BDP("DVN UN Equity","LAST_PRICE")</f>
        <v>35.51</v>
      </c>
      <c r="F154">
        <f>_xll.BDP("DVN UN Equity","RT_PX_CHG_PCT_1D")</f>
        <v>1.4860999584197998</v>
      </c>
      <c r="G154">
        <f>_xll.BDP("DVN UN Equity","REALTIME_5_DAY_CHANGE_PERCENT")</f>
        <v>-5.5835999999999997</v>
      </c>
      <c r="H154">
        <f>_xll.BDP("DVN UN Equity","CHG_PCT_1M_RT")</f>
        <v>-8.6441999999999997</v>
      </c>
      <c r="I154">
        <f>_xll.BDP("DVN UN Equity","CHG_PCT_3M_RT")</f>
        <v>-14.2271</v>
      </c>
      <c r="J154">
        <f>_xll.BDP("DVN UN Equity","CHG_PCT_YTD_RT")</f>
        <v>-21.611499999999999</v>
      </c>
    </row>
    <row r="155" spans="1:10" x14ac:dyDescent="0.25">
      <c r="A155" t="s">
        <v>162</v>
      </c>
      <c r="B155">
        <f>_xll.BDP("DXCM UW Equity","LAST_PRICE")</f>
        <v>78.41</v>
      </c>
      <c r="C155">
        <f>_xll.BDP("DXCM UW Equity","LAST_PRICE")</f>
        <v>78.41</v>
      </c>
      <c r="D155">
        <f>_xll.BDP("DXCM UW Equity","LAST_PRICE")</f>
        <v>78.41</v>
      </c>
      <c r="E155">
        <f>_xll.BDP("DXCM UW Equity","LAST_PRICE")</f>
        <v>78.41</v>
      </c>
      <c r="F155">
        <f>_xll.BDP("DXCM UW Equity","RT_PX_CHG_PCT_1D")</f>
        <v>0.88779997825622559</v>
      </c>
      <c r="G155">
        <f>_xll.BDP("DXCM UW Equity","REALTIME_5_DAY_CHANGE_PERCENT")</f>
        <v>-1.1348</v>
      </c>
      <c r="H155">
        <f>_xll.BDP("DXCM UW Equity","CHG_PCT_1M_RT")</f>
        <v>12.0783</v>
      </c>
      <c r="I155">
        <f>_xll.BDP("DXCM UW Equity","CHG_PCT_3M_RT")</f>
        <v>12.4803</v>
      </c>
      <c r="J155">
        <f>_xll.BDP("DXCM UW Equity","CHG_PCT_YTD_RT")</f>
        <v>-36.811999999999998</v>
      </c>
    </row>
    <row r="156" spans="1:10" x14ac:dyDescent="0.25">
      <c r="A156" t="s">
        <v>163</v>
      </c>
      <c r="B156">
        <f>_xll.BDP("EA UW Equity","LAST_PRICE")</f>
        <v>165.61</v>
      </c>
      <c r="C156">
        <f>_xll.BDP("EA UW Equity","LAST_PRICE")</f>
        <v>165.61</v>
      </c>
      <c r="D156">
        <f>_xll.BDP("EA UW Equity","LAST_PRICE")</f>
        <v>165.61</v>
      </c>
      <c r="E156">
        <f>_xll.BDP("EA UW Equity","LAST_PRICE")</f>
        <v>165.61</v>
      </c>
      <c r="F156">
        <f>_xll.BDP("EA UW Equity","RT_PX_CHG_PCT_1D")</f>
        <v>-0.83829998970031738</v>
      </c>
      <c r="G156">
        <f>_xll.BDP("EA UW Equity","REALTIME_5_DAY_CHANGE_PERCENT")</f>
        <v>-0.2109</v>
      </c>
      <c r="H156">
        <f>_xll.BDP("EA UW Equity","CHG_PCT_1M_RT")</f>
        <v>4.8761999999999999</v>
      </c>
      <c r="I156">
        <f>_xll.BDP("EA UW Equity","CHG_PCT_3M_RT")</f>
        <v>14.767799999999999</v>
      </c>
      <c r="J156">
        <f>_xll.BDP("EA UW Equity","CHG_PCT_YTD_RT")</f>
        <v>21.051100000000002</v>
      </c>
    </row>
    <row r="157" spans="1:10" x14ac:dyDescent="0.25">
      <c r="A157" t="s">
        <v>164</v>
      </c>
      <c r="B157">
        <f>_xll.BDP("EBAY UW Equity","LAST_PRICE")</f>
        <v>65.14</v>
      </c>
      <c r="C157">
        <f>_xll.BDP("EBAY UW Equity","LAST_PRICE")</f>
        <v>65.14</v>
      </c>
      <c r="D157">
        <f>_xll.BDP("EBAY UW Equity","LAST_PRICE")</f>
        <v>65.14</v>
      </c>
      <c r="E157">
        <f>_xll.BDP("EBAY UW Equity","LAST_PRICE")</f>
        <v>65.14</v>
      </c>
      <c r="F157">
        <f>_xll.BDP("EBAY UW Equity","RT_PX_CHG_PCT_1D")</f>
        <v>2.38919997215271</v>
      </c>
      <c r="G157">
        <f>_xll.BDP("EBAY UW Equity","REALTIME_5_DAY_CHANGE_PERCENT")</f>
        <v>3.1185999999999998</v>
      </c>
      <c r="H157">
        <f>_xll.BDP("EBAY UW Equity","CHG_PCT_1M_RT")</f>
        <v>5.2512999999999996</v>
      </c>
      <c r="I157">
        <f>_xll.BDP("EBAY UW Equity","CHG_PCT_3M_RT")</f>
        <v>9.6079000000000008</v>
      </c>
      <c r="J157">
        <f>_xll.BDP("EBAY UW Equity","CHG_PCT_YTD_RT")</f>
        <v>49.3352</v>
      </c>
    </row>
    <row r="158" spans="1:10" x14ac:dyDescent="0.25">
      <c r="A158" t="s">
        <v>165</v>
      </c>
      <c r="B158">
        <f>_xll.BDP("ECL UN Equity","LAST_PRICE")</f>
        <v>249.4</v>
      </c>
      <c r="C158">
        <f>_xll.BDP("ECL UN Equity","LAST_PRICE")</f>
        <v>249.4</v>
      </c>
      <c r="D158">
        <f>_xll.BDP("ECL UN Equity","LAST_PRICE")</f>
        <v>249.4</v>
      </c>
      <c r="E158">
        <f>_xll.BDP("ECL UN Equity","LAST_PRICE")</f>
        <v>249.4</v>
      </c>
      <c r="F158">
        <f>_xll.BDP("ECL UN Equity","RT_PX_CHG_PCT_1D")</f>
        <v>-0.37549999356269836</v>
      </c>
      <c r="G158">
        <f>_xll.BDP("ECL UN Equity","REALTIME_5_DAY_CHANGE_PERCENT")</f>
        <v>0.38240000000000002</v>
      </c>
      <c r="H158">
        <f>_xll.BDP("ECL UN Equity","CHG_PCT_1M_RT")</f>
        <v>-0.25600000000000001</v>
      </c>
      <c r="I158">
        <f>_xll.BDP("ECL UN Equity","CHG_PCT_3M_RT")</f>
        <v>8.43E-2</v>
      </c>
      <c r="J158">
        <f>_xll.BDP("ECL UN Equity","CHG_PCT_YTD_RT")</f>
        <v>25.737300000000001</v>
      </c>
    </row>
    <row r="159" spans="1:10" x14ac:dyDescent="0.25">
      <c r="A159" t="s">
        <v>166</v>
      </c>
      <c r="B159">
        <f>_xll.BDP("ED UN Equity","LAST_PRICE")</f>
        <v>94.78</v>
      </c>
      <c r="C159">
        <f>_xll.BDP("ED UN Equity","LAST_PRICE")</f>
        <v>94.78</v>
      </c>
      <c r="D159">
        <f>_xll.BDP("ED UN Equity","LAST_PRICE")</f>
        <v>94.78</v>
      </c>
      <c r="E159">
        <f>_xll.BDP("ED UN Equity","LAST_PRICE")</f>
        <v>94.78</v>
      </c>
      <c r="F159">
        <f>_xll.BDP("ED UN Equity","RT_PX_CHG_PCT_1D")</f>
        <v>-4.2199999094009399E-2</v>
      </c>
      <c r="G159">
        <f>_xll.BDP("ED UN Equity","REALTIME_5_DAY_CHANGE_PERCENT")</f>
        <v>-3.7766000000000002</v>
      </c>
      <c r="H159">
        <f>_xll.BDP("ED UN Equity","CHG_PCT_1M_RT")</f>
        <v>-3.4138000000000002</v>
      </c>
      <c r="I159">
        <f>_xll.BDP("ED UN Equity","CHG_PCT_3M_RT")</f>
        <v>-9.5178999999999991</v>
      </c>
      <c r="J159">
        <f>_xll.BDP("ED UN Equity","CHG_PCT_YTD_RT")</f>
        <v>4.1882000000000001</v>
      </c>
    </row>
    <row r="160" spans="1:10" x14ac:dyDescent="0.25">
      <c r="A160" t="s">
        <v>167</v>
      </c>
      <c r="B160">
        <f>_xll.BDP("EFX UN Equity","LAST_PRICE")</f>
        <v>264.86</v>
      </c>
      <c r="C160">
        <f>_xll.BDP("EFX UN Equity","LAST_PRICE")</f>
        <v>264.86</v>
      </c>
      <c r="D160">
        <f>_xll.BDP("EFX UN Equity","LAST_PRICE")</f>
        <v>264.86</v>
      </c>
      <c r="E160">
        <f>_xll.BDP("EFX UN Equity","LAST_PRICE")</f>
        <v>264.86</v>
      </c>
      <c r="F160">
        <f>_xll.BDP("EFX UN Equity","RT_PX_CHG_PCT_1D")</f>
        <v>-0.7346000075340271</v>
      </c>
      <c r="G160">
        <f>_xll.BDP("EFX UN Equity","REALTIME_5_DAY_CHANGE_PERCENT")</f>
        <v>2.3811</v>
      </c>
      <c r="H160">
        <f>_xll.BDP("EFX UN Equity","CHG_PCT_1M_RT")</f>
        <v>-2.2404000000000002</v>
      </c>
      <c r="I160">
        <f>_xll.BDP("EFX UN Equity","CHG_PCT_3M_RT")</f>
        <v>-10.938499999999999</v>
      </c>
      <c r="J160">
        <f>_xll.BDP("EFX UN Equity","CHG_PCT_YTD_RT")</f>
        <v>7.1050000000000004</v>
      </c>
    </row>
    <row r="161" spans="1:10" x14ac:dyDescent="0.25">
      <c r="A161" t="s">
        <v>168</v>
      </c>
      <c r="B161">
        <f>_xll.BDP("EG UN Equity","LAST_PRICE")</f>
        <v>368.17</v>
      </c>
      <c r="C161">
        <f>_xll.BDP("EG UN Equity","LAST_PRICE")</f>
        <v>368.17</v>
      </c>
      <c r="D161">
        <f>_xll.BDP("EG UN Equity","LAST_PRICE")</f>
        <v>368.17</v>
      </c>
      <c r="E161">
        <f>_xll.BDP("EG UN Equity","LAST_PRICE")</f>
        <v>368.17</v>
      </c>
      <c r="F161">
        <f>_xll.BDP("EG UN Equity","RT_PX_CHG_PCT_1D")</f>
        <v>-0.86970001459121704</v>
      </c>
      <c r="G161">
        <f>_xll.BDP("EG UN Equity","REALTIME_5_DAY_CHANGE_PERCENT")</f>
        <v>-4.0548999999999999</v>
      </c>
      <c r="H161">
        <f>_xll.BDP("EG UN Equity","CHG_PCT_1M_RT")</f>
        <v>-3.2599999999999997E-2</v>
      </c>
      <c r="I161">
        <f>_xll.BDP("EG UN Equity","CHG_PCT_3M_RT")</f>
        <v>-4.8704999999999998</v>
      </c>
      <c r="J161">
        <f>_xll.BDP("EG UN Equity","CHG_PCT_YTD_RT")</f>
        <v>4.1264000000000003</v>
      </c>
    </row>
    <row r="162" spans="1:10" x14ac:dyDescent="0.25">
      <c r="A162" t="s">
        <v>169</v>
      </c>
      <c r="B162">
        <f>_xll.BDP("EIX UN Equity","LAST_PRICE")</f>
        <v>83.02</v>
      </c>
      <c r="C162">
        <f>_xll.BDP("EIX UN Equity","LAST_PRICE")</f>
        <v>83.02</v>
      </c>
      <c r="D162">
        <f>_xll.BDP("EIX UN Equity","LAST_PRICE")</f>
        <v>83.02</v>
      </c>
      <c r="E162">
        <f>_xll.BDP("EIX UN Equity","LAST_PRICE")</f>
        <v>83.02</v>
      </c>
      <c r="F162">
        <f>_xll.BDP("EIX UN Equity","RT_PX_CHG_PCT_1D")</f>
        <v>-1.1078000068664551</v>
      </c>
      <c r="G162">
        <f>_xll.BDP("EIX UN Equity","REALTIME_5_DAY_CHANGE_PERCENT")</f>
        <v>-3.2174999999999998</v>
      </c>
      <c r="H162">
        <f>_xll.BDP("EIX UN Equity","CHG_PCT_1M_RT")</f>
        <v>-9.6299999999999997E-2</v>
      </c>
      <c r="I162">
        <f>_xll.BDP("EIX UN Equity","CHG_PCT_3M_RT")</f>
        <v>-3.5659999999999998</v>
      </c>
      <c r="J162">
        <f>_xll.BDP("EIX UN Equity","CHG_PCT_YTD_RT")</f>
        <v>16.1281</v>
      </c>
    </row>
    <row r="163" spans="1:10" x14ac:dyDescent="0.25">
      <c r="A163" t="s">
        <v>170</v>
      </c>
      <c r="B163">
        <f>_xll.BDP("EL UN Equity","LAST_PRICE")</f>
        <v>81.680000000000007</v>
      </c>
      <c r="C163">
        <f>_xll.BDP("EL UN Equity","LAST_PRICE")</f>
        <v>81.680000000000007</v>
      </c>
      <c r="D163">
        <f>_xll.BDP("EL UN Equity","LAST_PRICE")</f>
        <v>81.680000000000007</v>
      </c>
      <c r="E163">
        <f>_xll.BDP("EL UN Equity","LAST_PRICE")</f>
        <v>81.680000000000007</v>
      </c>
      <c r="F163">
        <f>_xll.BDP("EL UN Equity","RT_PX_CHG_PCT_1D")</f>
        <v>2.9753000736236572</v>
      </c>
      <c r="G163">
        <f>_xll.BDP("EL UN Equity","REALTIME_5_DAY_CHANGE_PERCENT")</f>
        <v>7.5019999999999998</v>
      </c>
      <c r="H163">
        <f>_xll.BDP("EL UN Equity","CHG_PCT_1M_RT")</f>
        <v>27.8247</v>
      </c>
      <c r="I163">
        <f>_xll.BDP("EL UN Equity","CHG_PCT_3M_RT")</f>
        <v>-6.0176999999999996</v>
      </c>
      <c r="J163">
        <f>_xll.BDP("EL UN Equity","CHG_PCT_YTD_RT")</f>
        <v>-44.150399999999998</v>
      </c>
    </row>
    <row r="164" spans="1:10" x14ac:dyDescent="0.25">
      <c r="A164" t="s">
        <v>171</v>
      </c>
      <c r="B164">
        <f>_xll.BDP("ELV UN Equity","LAST_PRICE")</f>
        <v>395.66</v>
      </c>
      <c r="C164">
        <f>_xll.BDP("ELV UN Equity","LAST_PRICE")</f>
        <v>395.66</v>
      </c>
      <c r="D164">
        <f>_xll.BDP("ELV UN Equity","LAST_PRICE")</f>
        <v>395.66</v>
      </c>
      <c r="E164">
        <f>_xll.BDP("ELV UN Equity","LAST_PRICE")</f>
        <v>395.66</v>
      </c>
      <c r="F164">
        <f>_xll.BDP("ELV UN Equity","RT_PX_CHG_PCT_1D")</f>
        <v>3.5380001068115234</v>
      </c>
      <c r="G164">
        <f>_xll.BDP("ELV UN Equity","REALTIME_5_DAY_CHANGE_PERCENT")</f>
        <v>-3.5893000000000002</v>
      </c>
      <c r="H164">
        <f>_xll.BDP("ELV UN Equity","CHG_PCT_1M_RT")</f>
        <v>-6.3792999999999997</v>
      </c>
      <c r="I164">
        <f>_xll.BDP("ELV UN Equity","CHG_PCT_3M_RT")</f>
        <v>-27.222899999999999</v>
      </c>
      <c r="J164">
        <f>_xll.BDP("ELV UN Equity","CHG_PCT_YTD_RT")</f>
        <v>-16.095500000000001</v>
      </c>
    </row>
    <row r="165" spans="1:10" x14ac:dyDescent="0.25">
      <c r="A165" t="s">
        <v>172</v>
      </c>
      <c r="B165">
        <f>_xll.BDP("EMN UN Equity","LAST_PRICE")</f>
        <v>100.08</v>
      </c>
      <c r="C165">
        <f>_xll.BDP("EMN UN Equity","LAST_PRICE")</f>
        <v>100.08</v>
      </c>
      <c r="D165">
        <f>_xll.BDP("EMN UN Equity","LAST_PRICE")</f>
        <v>100.08</v>
      </c>
      <c r="E165">
        <f>_xll.BDP("EMN UN Equity","LAST_PRICE")</f>
        <v>100.08</v>
      </c>
      <c r="F165">
        <f>_xll.BDP("EMN UN Equity","RT_PX_CHG_PCT_1D")</f>
        <v>-0.97949999570846558</v>
      </c>
      <c r="G165">
        <f>_xll.BDP("EMN UN Equity","REALTIME_5_DAY_CHANGE_PERCENT")</f>
        <v>-4.0183999999999997</v>
      </c>
      <c r="H165">
        <f>_xll.BDP("EMN UN Equity","CHG_PCT_1M_RT")</f>
        <v>-1.3698999999999999</v>
      </c>
      <c r="I165">
        <f>_xll.BDP("EMN UN Equity","CHG_PCT_3M_RT")</f>
        <v>2.1120000000000001</v>
      </c>
      <c r="J165">
        <f>_xll.BDP("EMN UN Equity","CHG_PCT_YTD_RT")</f>
        <v>11.422800000000001</v>
      </c>
    </row>
    <row r="166" spans="1:10" x14ac:dyDescent="0.25">
      <c r="A166" t="s">
        <v>173</v>
      </c>
      <c r="B166">
        <f>_xll.BDP("EMR UN Equity","LAST_PRICE")</f>
        <v>130.43</v>
      </c>
      <c r="C166">
        <f>_xll.BDP("EMR UN Equity","LAST_PRICE")</f>
        <v>130.43</v>
      </c>
      <c r="D166">
        <f>_xll.BDP("EMR UN Equity","LAST_PRICE")</f>
        <v>130.43</v>
      </c>
      <c r="E166">
        <f>_xll.BDP("EMR UN Equity","LAST_PRICE")</f>
        <v>130.43</v>
      </c>
      <c r="F166">
        <f>_xll.BDP("EMR UN Equity","RT_PX_CHG_PCT_1D")</f>
        <v>-0.41990000009536743</v>
      </c>
      <c r="G166">
        <f>_xll.BDP("EMR UN Equity","REALTIME_5_DAY_CHANGE_PERCENT")</f>
        <v>-2.4967999999999999</v>
      </c>
      <c r="H166">
        <f>_xll.BDP("EMR UN Equity","CHG_PCT_1M_RT")</f>
        <v>2.4910000000000001</v>
      </c>
      <c r="I166">
        <f>_xll.BDP("EMR UN Equity","CHG_PCT_3M_RT")</f>
        <v>30.9801</v>
      </c>
      <c r="J166">
        <f>_xll.BDP("EMR UN Equity","CHG_PCT_YTD_RT")</f>
        <v>34.008000000000003</v>
      </c>
    </row>
    <row r="167" spans="1:10" x14ac:dyDescent="0.25">
      <c r="A167" t="s">
        <v>174</v>
      </c>
      <c r="B167">
        <f>_xll.BDP("ENPH UQ Equity","LAST_PRICE")</f>
        <v>76.39</v>
      </c>
      <c r="C167">
        <f>_xll.BDP("ENPH UQ Equity","LAST_PRICE")</f>
        <v>76.39</v>
      </c>
      <c r="D167">
        <f>_xll.BDP("ENPH UQ Equity","LAST_PRICE")</f>
        <v>76.39</v>
      </c>
      <c r="E167">
        <f>_xll.BDP("ENPH UQ Equity","LAST_PRICE")</f>
        <v>76.39</v>
      </c>
      <c r="F167">
        <f>_xll.BDP("ENPH UQ Equity","RT_PX_CHG_PCT_1D")</f>
        <v>6.7495999336242676</v>
      </c>
      <c r="G167">
        <f>_xll.BDP("ENPH UQ Equity","REALTIME_5_DAY_CHANGE_PERCENT")</f>
        <v>1.6906000000000001</v>
      </c>
      <c r="H167">
        <f>_xll.BDP("ENPH UQ Equity","CHG_PCT_1M_RT")</f>
        <v>14.1854</v>
      </c>
      <c r="I167">
        <f>_xll.BDP("ENPH UQ Equity","CHG_PCT_3M_RT")</f>
        <v>-25.863700000000001</v>
      </c>
      <c r="J167">
        <f>_xll.BDP("ENPH UQ Equity","CHG_PCT_YTD_RT")</f>
        <v>-42.190100000000001</v>
      </c>
    </row>
    <row r="168" spans="1:10" x14ac:dyDescent="0.25">
      <c r="A168" t="s">
        <v>175</v>
      </c>
      <c r="B168">
        <f>_xll.BDP("EOG UN Equity","LAST_PRICE")</f>
        <v>127.85</v>
      </c>
      <c r="C168">
        <f>_xll.BDP("EOG UN Equity","LAST_PRICE")</f>
        <v>127.85</v>
      </c>
      <c r="D168">
        <f>_xll.BDP("EOG UN Equity","LAST_PRICE")</f>
        <v>127.85</v>
      </c>
      <c r="E168">
        <f>_xll.BDP("EOG UN Equity","LAST_PRICE")</f>
        <v>127.85</v>
      </c>
      <c r="F168">
        <f>_xll.BDP("EOG UN Equity","RT_PX_CHG_PCT_1D")</f>
        <v>3.1300000846385956E-2</v>
      </c>
      <c r="G168">
        <f>_xll.BDP("EOG UN Equity","REALTIME_5_DAY_CHANGE_PERCENT")</f>
        <v>-2.5831</v>
      </c>
      <c r="H168">
        <f>_xll.BDP("EOG UN Equity","CHG_PCT_1M_RT")</f>
        <v>-4.6749000000000001</v>
      </c>
      <c r="I168">
        <f>_xll.BDP("EOG UN Equity","CHG_PCT_3M_RT")</f>
        <v>6.0995999999999997</v>
      </c>
      <c r="J168">
        <f>_xll.BDP("EOG UN Equity","CHG_PCT_YTD_RT")</f>
        <v>5.7047999999999996</v>
      </c>
    </row>
    <row r="169" spans="1:10" x14ac:dyDescent="0.25">
      <c r="A169" t="s">
        <v>176</v>
      </c>
      <c r="B169">
        <f>_xll.BDP("EPAM UN Equity","LAST_PRICE")</f>
        <v>247.2</v>
      </c>
      <c r="C169">
        <f>_xll.BDP("EPAM UN Equity","LAST_PRICE")</f>
        <v>247.2</v>
      </c>
      <c r="D169">
        <f>_xll.BDP("EPAM UN Equity","LAST_PRICE")</f>
        <v>247.2</v>
      </c>
      <c r="E169">
        <f>_xll.BDP("EPAM UN Equity","LAST_PRICE")</f>
        <v>247.2</v>
      </c>
      <c r="F169">
        <f>_xll.BDP("EPAM UN Equity","RT_PX_CHG_PCT_1D")</f>
        <v>0.71299999952316284</v>
      </c>
      <c r="G169">
        <f>_xll.BDP("EPAM UN Equity","REALTIME_5_DAY_CHANGE_PERCENT")</f>
        <v>1.3987000000000001</v>
      </c>
      <c r="H169">
        <f>_xll.BDP("EPAM UN Equity","CHG_PCT_1M_RT")</f>
        <v>5.8898999999999999</v>
      </c>
      <c r="I169">
        <f>_xll.BDP("EPAM UN Equity","CHG_PCT_3M_RT")</f>
        <v>19.930099999999999</v>
      </c>
      <c r="J169">
        <f>_xll.BDP("EPAM UN Equity","CHG_PCT_YTD_RT")</f>
        <v>-16.8629</v>
      </c>
    </row>
    <row r="170" spans="1:10" x14ac:dyDescent="0.25">
      <c r="A170" t="s">
        <v>177</v>
      </c>
      <c r="B170">
        <f>_xll.BDP("EQIX UW Equity","LAST_PRICE")</f>
        <v>968.98</v>
      </c>
      <c r="C170">
        <f>_xll.BDP("EQIX UW Equity","LAST_PRICE")</f>
        <v>968.98</v>
      </c>
      <c r="D170">
        <f>_xll.BDP("EQIX UW Equity","LAST_PRICE")</f>
        <v>968.98</v>
      </c>
      <c r="E170">
        <f>_xll.BDP("EQIX UW Equity","LAST_PRICE")</f>
        <v>968.98</v>
      </c>
      <c r="F170">
        <f>_xll.BDP("EQIX UW Equity","RT_PX_CHG_PCT_1D")</f>
        <v>-1.6263999938964844</v>
      </c>
      <c r="G170">
        <f>_xll.BDP("EQIX UW Equity","REALTIME_5_DAY_CHANGE_PERCENT")</f>
        <v>0.42909999999999998</v>
      </c>
      <c r="H170">
        <f>_xll.BDP("EQIX UW Equity","CHG_PCT_1M_RT")</f>
        <v>5.2027000000000001</v>
      </c>
      <c r="I170">
        <f>_xll.BDP("EQIX UW Equity","CHG_PCT_3M_RT")</f>
        <v>16.491900000000001</v>
      </c>
      <c r="J170">
        <f>_xll.BDP("EQIX UW Equity","CHG_PCT_YTD_RT")</f>
        <v>20.311900000000001</v>
      </c>
    </row>
    <row r="171" spans="1:10" x14ac:dyDescent="0.25">
      <c r="A171" t="s">
        <v>178</v>
      </c>
      <c r="B171">
        <f>_xll.BDP("EQR UN Equity","LAST_PRICE")</f>
        <v>73.66</v>
      </c>
      <c r="C171">
        <f>_xll.BDP("EQR UN Equity","LAST_PRICE")</f>
        <v>73.66</v>
      </c>
      <c r="D171">
        <f>_xll.BDP("EQR UN Equity","LAST_PRICE")</f>
        <v>73.66</v>
      </c>
      <c r="E171">
        <f>_xll.BDP("EQR UN Equity","LAST_PRICE")</f>
        <v>73.66</v>
      </c>
      <c r="F171">
        <f>_xll.BDP("EQR UN Equity","RT_PX_CHG_PCT_1D")</f>
        <v>-0.12200000137090683</v>
      </c>
      <c r="G171">
        <f>_xll.BDP("EQR UN Equity","REALTIME_5_DAY_CHANGE_PERCENT")</f>
        <v>-2.0998999999999999</v>
      </c>
      <c r="H171">
        <f>_xll.BDP("EQR UN Equity","CHG_PCT_1M_RT")</f>
        <v>0.17680000000000001</v>
      </c>
      <c r="I171">
        <f>_xll.BDP("EQR UN Equity","CHG_PCT_3M_RT")</f>
        <v>-1.9174</v>
      </c>
      <c r="J171">
        <f>_xll.BDP("EQR UN Equity","CHG_PCT_YTD_RT")</f>
        <v>20.438199999999998</v>
      </c>
    </row>
    <row r="172" spans="1:10" x14ac:dyDescent="0.25">
      <c r="A172" t="s">
        <v>179</v>
      </c>
      <c r="B172">
        <f>_xll.BDP("EQT UN Equity","LAST_PRICE")</f>
        <v>43.27</v>
      </c>
      <c r="C172">
        <f>_xll.BDP("EQT UN Equity","LAST_PRICE")</f>
        <v>43.27</v>
      </c>
      <c r="D172">
        <f>_xll.BDP("EQT UN Equity","LAST_PRICE")</f>
        <v>43.27</v>
      </c>
      <c r="E172">
        <f>_xll.BDP("EQT UN Equity","LAST_PRICE")</f>
        <v>43.27</v>
      </c>
      <c r="F172">
        <f>_xll.BDP("EQT UN Equity","RT_PX_CHG_PCT_1D")</f>
        <v>-0.13850000500679016</v>
      </c>
      <c r="G172">
        <f>_xll.BDP("EQT UN Equity","REALTIME_5_DAY_CHANGE_PERCENT")</f>
        <v>-2.8296000000000001</v>
      </c>
      <c r="H172">
        <f>_xll.BDP("EQT UN Equity","CHG_PCT_1M_RT")</f>
        <v>4.9733000000000001</v>
      </c>
      <c r="I172">
        <f>_xll.BDP("EQT UN Equity","CHG_PCT_3M_RT")</f>
        <v>35.600099999999998</v>
      </c>
      <c r="J172">
        <f>_xll.BDP("EQT UN Equity","CHG_PCT_YTD_RT")</f>
        <v>11.9245</v>
      </c>
    </row>
    <row r="173" spans="1:10" x14ac:dyDescent="0.25">
      <c r="A173" t="s">
        <v>180</v>
      </c>
      <c r="B173">
        <f>_xll.BDP("ERIE UW Equity","LAST_PRICE")</f>
        <v>409.71</v>
      </c>
      <c r="C173">
        <f>_xll.BDP("ERIE UW Equity","LAST_PRICE")</f>
        <v>409.71</v>
      </c>
      <c r="D173">
        <f>_xll.BDP("ERIE UW Equity","LAST_PRICE")</f>
        <v>409.71</v>
      </c>
      <c r="E173">
        <f>_xll.BDP("ERIE UW Equity","LAST_PRICE")</f>
        <v>409.71</v>
      </c>
      <c r="F173">
        <f>_xll.BDP("ERIE UW Equity","RT_PX_CHG_PCT_1D")</f>
        <v>-0.52439999580383301</v>
      </c>
      <c r="G173">
        <f>_xll.BDP("ERIE UW Equity","REALTIME_5_DAY_CHANGE_PERCENT")</f>
        <v>-6.2984999999999998</v>
      </c>
      <c r="H173">
        <f>_xll.BDP("ERIE UW Equity","CHG_PCT_1M_RT")</f>
        <v>-4.1435000000000004</v>
      </c>
      <c r="I173">
        <f>_xll.BDP("ERIE UW Equity","CHG_PCT_3M_RT")</f>
        <v>-18.577500000000001</v>
      </c>
      <c r="J173">
        <f>_xll.BDP("ERIE UW Equity","CHG_PCT_YTD_RT")</f>
        <v>22.3307</v>
      </c>
    </row>
    <row r="174" spans="1:10" x14ac:dyDescent="0.25">
      <c r="A174" t="s">
        <v>181</v>
      </c>
      <c r="B174">
        <f>_xll.BDP("ES UN Equity","LAST_PRICE")</f>
        <v>60.25</v>
      </c>
      <c r="C174">
        <f>_xll.BDP("ES UN Equity","LAST_PRICE")</f>
        <v>60.25</v>
      </c>
      <c r="D174">
        <f>_xll.BDP("ES UN Equity","LAST_PRICE")</f>
        <v>60.25</v>
      </c>
      <c r="E174">
        <f>_xll.BDP("ES UN Equity","LAST_PRICE")</f>
        <v>60.25</v>
      </c>
      <c r="F174">
        <f>_xll.BDP("ES UN Equity","RT_PX_CHG_PCT_1D")</f>
        <v>0.78619998693466187</v>
      </c>
      <c r="G174">
        <f>_xll.BDP("ES UN Equity","REALTIME_5_DAY_CHANGE_PERCENT")</f>
        <v>-5.3714000000000004</v>
      </c>
      <c r="H174">
        <f>_xll.BDP("ES UN Equity","CHG_PCT_1M_RT")</f>
        <v>-1.873</v>
      </c>
      <c r="I174">
        <f>_xll.BDP("ES UN Equity","CHG_PCT_3M_RT")</f>
        <v>-11.475199999999999</v>
      </c>
      <c r="J174">
        <f>_xll.BDP("ES UN Equity","CHG_PCT_YTD_RT")</f>
        <v>-2.3816999999999999</v>
      </c>
    </row>
    <row r="175" spans="1:10" x14ac:dyDescent="0.25">
      <c r="A175" t="s">
        <v>182</v>
      </c>
      <c r="B175">
        <f>_xll.BDP("ESS UN Equity","LAST_PRICE")</f>
        <v>301</v>
      </c>
      <c r="C175">
        <f>_xll.BDP("ESS UN Equity","LAST_PRICE")</f>
        <v>301</v>
      </c>
      <c r="D175">
        <f>_xll.BDP("ESS UN Equity","LAST_PRICE")</f>
        <v>301</v>
      </c>
      <c r="E175">
        <f>_xll.BDP("ESS UN Equity","LAST_PRICE")</f>
        <v>301</v>
      </c>
      <c r="F175">
        <f>_xll.BDP("ESS UN Equity","RT_PX_CHG_PCT_1D")</f>
        <v>0.29989999532699585</v>
      </c>
      <c r="G175">
        <f>_xll.BDP("ESS UN Equity","REALTIME_5_DAY_CHANGE_PERCENT")</f>
        <v>-1.0161</v>
      </c>
      <c r="H175">
        <f>_xll.BDP("ESS UN Equity","CHG_PCT_1M_RT")</f>
        <v>-1.2013</v>
      </c>
      <c r="I175">
        <f>_xll.BDP("ESS UN Equity","CHG_PCT_3M_RT")</f>
        <v>0.31659999999999999</v>
      </c>
      <c r="J175">
        <f>_xll.BDP("ESS UN Equity","CHG_PCT_YTD_RT")</f>
        <v>21.400300000000001</v>
      </c>
    </row>
    <row r="176" spans="1:10" x14ac:dyDescent="0.25">
      <c r="A176" t="s">
        <v>183</v>
      </c>
      <c r="B176">
        <f>_xll.BDP("ETN UN Equity","LAST_PRICE")</f>
        <v>364.06</v>
      </c>
      <c r="C176">
        <f>_xll.BDP("ETN UN Equity","LAST_PRICE")</f>
        <v>364.06</v>
      </c>
      <c r="D176">
        <f>_xll.BDP("ETN UN Equity","LAST_PRICE")</f>
        <v>364.06</v>
      </c>
      <c r="E176">
        <f>_xll.BDP("ETN UN Equity","LAST_PRICE")</f>
        <v>364.06</v>
      </c>
      <c r="F176">
        <f>_xll.BDP("ETN UN Equity","RT_PX_CHG_PCT_1D")</f>
        <v>-1.9287999868392944</v>
      </c>
      <c r="G176">
        <f>_xll.BDP("ETN UN Equity","REALTIME_5_DAY_CHANGE_PERCENT")</f>
        <v>-2.1922999999999999</v>
      </c>
      <c r="H176">
        <f>_xll.BDP("ETN UN Equity","CHG_PCT_1M_RT")</f>
        <v>-0.71179999999999999</v>
      </c>
      <c r="I176">
        <f>_xll.BDP("ETN UN Equity","CHG_PCT_3M_RT")</f>
        <v>25.806899999999999</v>
      </c>
      <c r="J176">
        <f>_xll.BDP("ETN UN Equity","CHG_PCT_YTD_RT")</f>
        <v>51.175199999999997</v>
      </c>
    </row>
    <row r="177" spans="1:10" x14ac:dyDescent="0.25">
      <c r="A177" t="s">
        <v>184</v>
      </c>
      <c r="B177">
        <f>_xll.BDP("ETR UN Equity","LAST_PRICE")</f>
        <v>149.56</v>
      </c>
      <c r="C177">
        <f>_xll.BDP("ETR UN Equity","LAST_PRICE")</f>
        <v>149.56</v>
      </c>
      <c r="D177">
        <f>_xll.BDP("ETR UN Equity","LAST_PRICE")</f>
        <v>149.56</v>
      </c>
      <c r="E177">
        <f>_xll.BDP("ETR UN Equity","LAST_PRICE")</f>
        <v>149.56</v>
      </c>
      <c r="F177">
        <f>_xll.BDP("ETR UN Equity","RT_PX_CHG_PCT_1D")</f>
        <v>-1.319599986076355</v>
      </c>
      <c r="G177">
        <f>_xll.BDP("ETR UN Equity","REALTIME_5_DAY_CHANGE_PERCENT")</f>
        <v>-2.4077999999999999</v>
      </c>
      <c r="H177">
        <f>_xll.BDP("ETR UN Equity","CHG_PCT_1M_RT")</f>
        <v>0.38929999999999998</v>
      </c>
      <c r="I177">
        <f>_xll.BDP("ETR UN Equity","CHG_PCT_3M_RT")</f>
        <v>22.419599999999999</v>
      </c>
      <c r="J177">
        <f>_xll.BDP("ETR UN Equity","CHG_PCT_YTD_RT")</f>
        <v>47.801200000000001</v>
      </c>
    </row>
    <row r="178" spans="1:10" x14ac:dyDescent="0.25">
      <c r="A178" t="s">
        <v>185</v>
      </c>
      <c r="B178">
        <f>_xll.BDP("EVRG UW Equity","LAST_PRICE")</f>
        <v>62.47</v>
      </c>
      <c r="C178">
        <f>_xll.BDP("EVRG UW Equity","LAST_PRICE")</f>
        <v>62.47</v>
      </c>
      <c r="D178">
        <f>_xll.BDP("EVRG UW Equity","LAST_PRICE")</f>
        <v>62.47</v>
      </c>
      <c r="E178">
        <f>_xll.BDP("EVRG UW Equity","LAST_PRICE")</f>
        <v>62.47</v>
      </c>
      <c r="F178">
        <f>_xll.BDP("EVRG UW Equity","RT_PX_CHG_PCT_1D")</f>
        <v>-0.77829998731613159</v>
      </c>
      <c r="G178">
        <f>_xll.BDP("EVRG UW Equity","REALTIME_5_DAY_CHANGE_PERCENT")</f>
        <v>-1.7922</v>
      </c>
      <c r="H178">
        <f>_xll.BDP("EVRG UW Equity","CHG_PCT_1M_RT")</f>
        <v>-6.4000000000000001E-2</v>
      </c>
      <c r="I178">
        <f>_xll.BDP("EVRG UW Equity","CHG_PCT_3M_RT")</f>
        <v>3.3586999999999998</v>
      </c>
      <c r="J178">
        <f>_xll.BDP("EVRG UW Equity","CHG_PCT_YTD_RT")</f>
        <v>19.674299999999999</v>
      </c>
    </row>
    <row r="179" spans="1:10" x14ac:dyDescent="0.25">
      <c r="A179" t="s">
        <v>186</v>
      </c>
      <c r="B179">
        <f>_xll.BDP("EW UN Equity","LAST_PRICE")</f>
        <v>70.900000000000006</v>
      </c>
      <c r="C179">
        <f>_xll.BDP("EW UN Equity","LAST_PRICE")</f>
        <v>70.900000000000006</v>
      </c>
      <c r="D179">
        <f>_xll.BDP("EW UN Equity","LAST_PRICE")</f>
        <v>70.900000000000006</v>
      </c>
      <c r="E179">
        <f>_xll.BDP("EW UN Equity","LAST_PRICE")</f>
        <v>70.900000000000006</v>
      </c>
      <c r="F179">
        <f>_xll.BDP("EW UN Equity","RT_PX_CHG_PCT_1D")</f>
        <v>-0.88069999217987061</v>
      </c>
      <c r="G179">
        <f>_xll.BDP("EW UN Equity","REALTIME_5_DAY_CHANGE_PERCENT")</f>
        <v>0.52459999999999996</v>
      </c>
      <c r="H179">
        <f>_xll.BDP("EW UN Equity","CHG_PCT_1M_RT")</f>
        <v>7.0511999999999997</v>
      </c>
      <c r="I179">
        <f>_xll.BDP("EW UN Equity","CHG_PCT_3M_RT")</f>
        <v>7.8982999999999999</v>
      </c>
      <c r="J179">
        <f>_xll.BDP("EW UN Equity","CHG_PCT_YTD_RT")</f>
        <v>-7.0164</v>
      </c>
    </row>
    <row r="180" spans="1:10" x14ac:dyDescent="0.25">
      <c r="A180" t="s">
        <v>187</v>
      </c>
      <c r="B180">
        <f>_xll.BDP("EXC UW Equity","LAST_PRICE")</f>
        <v>37.44</v>
      </c>
      <c r="C180">
        <f>_xll.BDP("EXC UW Equity","LAST_PRICE")</f>
        <v>37.44</v>
      </c>
      <c r="D180">
        <f>_xll.BDP("EXC UW Equity","LAST_PRICE")</f>
        <v>37.44</v>
      </c>
      <c r="E180">
        <f>_xll.BDP("EXC UW Equity","LAST_PRICE")</f>
        <v>37.44</v>
      </c>
      <c r="F180">
        <f>_xll.BDP("EXC UW Equity","RT_PX_CHG_PCT_1D")</f>
        <v>-1.0831999778747559</v>
      </c>
      <c r="G180">
        <f>_xll.BDP("EXC UW Equity","REALTIME_5_DAY_CHANGE_PERCENT")</f>
        <v>-2.4238</v>
      </c>
      <c r="H180">
        <f>_xll.BDP("EXC UW Equity","CHG_PCT_1M_RT")</f>
        <v>-1.7581</v>
      </c>
      <c r="I180">
        <f>_xll.BDP("EXC UW Equity","CHG_PCT_3M_RT")</f>
        <v>-3.3308</v>
      </c>
      <c r="J180">
        <f>_xll.BDP("EXC UW Equity","CHG_PCT_YTD_RT")</f>
        <v>4.2896999999999998</v>
      </c>
    </row>
    <row r="181" spans="1:10" x14ac:dyDescent="0.25">
      <c r="A181" t="s">
        <v>188</v>
      </c>
      <c r="B181">
        <f>_xll.BDP("EXPD UN Equity","LAST_PRICE")</f>
        <v>120.64</v>
      </c>
      <c r="C181">
        <f>_xll.BDP("EXPD UN Equity","LAST_PRICE")</f>
        <v>120.64</v>
      </c>
      <c r="D181">
        <f>_xll.BDP("EXPD UN Equity","LAST_PRICE")</f>
        <v>120.64</v>
      </c>
      <c r="E181">
        <f>_xll.BDP("EXPD UN Equity","LAST_PRICE")</f>
        <v>120.64</v>
      </c>
      <c r="F181">
        <f>_xll.BDP("EXPD UN Equity","RT_PX_CHG_PCT_1D")</f>
        <v>1.1402000188827515</v>
      </c>
      <c r="G181">
        <f>_xll.BDP("EXPD UN Equity","REALTIME_5_DAY_CHANGE_PERCENT")</f>
        <v>-0.68330000000000002</v>
      </c>
      <c r="H181">
        <f>_xll.BDP("EXPD UN Equity","CHG_PCT_1M_RT")</f>
        <v>0.48309999999999997</v>
      </c>
      <c r="I181">
        <f>_xll.BDP("EXPD UN Equity","CHG_PCT_3M_RT")</f>
        <v>-1.5425</v>
      </c>
      <c r="J181">
        <f>_xll.BDP("EXPD UN Equity","CHG_PCT_YTD_RT")</f>
        <v>-5.1571999999999996</v>
      </c>
    </row>
    <row r="182" spans="1:10" x14ac:dyDescent="0.25">
      <c r="A182" t="s">
        <v>189</v>
      </c>
      <c r="B182">
        <f>_xll.BDP("EXPE UW Equity","LAST_PRICE")</f>
        <v>189.52</v>
      </c>
      <c r="C182">
        <f>_xll.BDP("EXPE UW Equity","LAST_PRICE")</f>
        <v>189.52</v>
      </c>
      <c r="D182">
        <f>_xll.BDP("EXPE UW Equity","LAST_PRICE")</f>
        <v>189.52</v>
      </c>
      <c r="E182">
        <f>_xll.BDP("EXPE UW Equity","LAST_PRICE")</f>
        <v>189.52</v>
      </c>
      <c r="F182">
        <f>_xll.BDP("EXPE UW Equity","RT_PX_CHG_PCT_1D")</f>
        <v>-0.62919998168945313</v>
      </c>
      <c r="G182">
        <f>_xll.BDP("EXPE UW Equity","REALTIME_5_DAY_CHANGE_PERCENT")</f>
        <v>2.4377</v>
      </c>
      <c r="H182">
        <f>_xll.BDP("EXPE UW Equity","CHG_PCT_1M_RT")</f>
        <v>4.8461999999999996</v>
      </c>
      <c r="I182">
        <f>_xll.BDP("EXPE UW Equity","CHG_PCT_3M_RT")</f>
        <v>42.6464</v>
      </c>
      <c r="J182">
        <f>_xll.BDP("EXPE UW Equity","CHG_PCT_YTD_RT")</f>
        <v>24.8567</v>
      </c>
    </row>
    <row r="183" spans="1:10" x14ac:dyDescent="0.25">
      <c r="A183" t="s">
        <v>190</v>
      </c>
      <c r="B183">
        <f>_xll.BDP("EXR UN Equity","LAST_PRICE")</f>
        <v>164.51</v>
      </c>
      <c r="C183">
        <f>_xll.BDP("EXR UN Equity","LAST_PRICE")</f>
        <v>164.51</v>
      </c>
      <c r="D183">
        <f>_xll.BDP("EXR UN Equity","LAST_PRICE")</f>
        <v>164.51</v>
      </c>
      <c r="E183">
        <f>_xll.BDP("EXR UN Equity","LAST_PRICE")</f>
        <v>164.51</v>
      </c>
      <c r="F183">
        <f>_xll.BDP("EXR UN Equity","RT_PX_CHG_PCT_1D")</f>
        <v>0.59310001134872437</v>
      </c>
      <c r="G183">
        <f>_xll.BDP("EXR UN Equity","REALTIME_5_DAY_CHANGE_PERCENT")</f>
        <v>-3.0754999999999999</v>
      </c>
      <c r="H183">
        <f>_xll.BDP("EXR UN Equity","CHG_PCT_1M_RT")</f>
        <v>-1.9021999999999999</v>
      </c>
      <c r="I183">
        <f>_xll.BDP("EXR UN Equity","CHG_PCT_3M_RT")</f>
        <v>-5.8544</v>
      </c>
      <c r="J183">
        <f>_xll.BDP("EXR UN Equity","CHG_PCT_YTD_RT")</f>
        <v>2.6071</v>
      </c>
    </row>
    <row r="184" spans="1:10" x14ac:dyDescent="0.25">
      <c r="A184" t="s">
        <v>191</v>
      </c>
      <c r="B184">
        <f>_xll.BDP("F UN Equity","LAST_PRICE")</f>
        <v>10.6</v>
      </c>
      <c r="C184">
        <f>_xll.BDP("F UN Equity","LAST_PRICE")</f>
        <v>10.6</v>
      </c>
      <c r="D184">
        <f>_xll.BDP("F UN Equity","LAST_PRICE")</f>
        <v>10.6</v>
      </c>
      <c r="E184">
        <f>_xll.BDP("F UN Equity","LAST_PRICE")</f>
        <v>10.6</v>
      </c>
      <c r="F184">
        <f>_xll.BDP("F UN Equity","RT_PX_CHG_PCT_1D")</f>
        <v>0.8562999963760376</v>
      </c>
      <c r="G184">
        <f>_xll.BDP("F UN Equity","REALTIME_5_DAY_CHANGE_PERCENT")</f>
        <v>-3.4607999999999999</v>
      </c>
      <c r="H184">
        <f>_xll.BDP("F UN Equity","CHG_PCT_1M_RT")</f>
        <v>-3.3727999999999998</v>
      </c>
      <c r="I184">
        <f>_xll.BDP("F UN Equity","CHG_PCT_3M_RT")</f>
        <v>-0.56289999999999996</v>
      </c>
      <c r="J184">
        <f>_xll.BDP("F UN Equity","CHG_PCT_YTD_RT")</f>
        <v>-13.0435</v>
      </c>
    </row>
    <row r="185" spans="1:10" x14ac:dyDescent="0.25">
      <c r="A185" t="s">
        <v>192</v>
      </c>
      <c r="B185">
        <f>_xll.BDP("FANG UW Equity","LAST_PRICE")</f>
        <v>167.12</v>
      </c>
      <c r="C185">
        <f>_xll.BDP("FANG UW Equity","LAST_PRICE")</f>
        <v>167.12</v>
      </c>
      <c r="D185">
        <f>_xll.BDP("FANG UW Equity","LAST_PRICE")</f>
        <v>167.12</v>
      </c>
      <c r="E185">
        <f>_xll.BDP("FANG UW Equity","LAST_PRICE")</f>
        <v>167.12</v>
      </c>
      <c r="F185">
        <f>_xll.BDP("FANG UW Equity","RT_PX_CHG_PCT_1D")</f>
        <v>0.17380000650882721</v>
      </c>
      <c r="G185">
        <f>_xll.BDP("FANG UW Equity","REALTIME_5_DAY_CHANGE_PERCENT")</f>
        <v>-4.9535999999999998</v>
      </c>
      <c r="H185">
        <f>_xll.BDP("FANG UW Equity","CHG_PCT_1M_RT")</f>
        <v>-8.1151999999999997</v>
      </c>
      <c r="I185">
        <f>_xll.BDP("FANG UW Equity","CHG_PCT_3M_RT")</f>
        <v>-6.7462999999999997</v>
      </c>
      <c r="J185">
        <f>_xll.BDP("FANG UW Equity","CHG_PCT_YTD_RT")</f>
        <v>7.7637</v>
      </c>
    </row>
    <row r="186" spans="1:10" x14ac:dyDescent="0.25">
      <c r="A186" t="s">
        <v>193</v>
      </c>
      <c r="B186">
        <f>_xll.BDP("FAST UW Equity","LAST_PRICE")</f>
        <v>80.319999999999993</v>
      </c>
      <c r="C186">
        <f>_xll.BDP("FAST UW Equity","LAST_PRICE")</f>
        <v>80.319999999999993</v>
      </c>
      <c r="D186">
        <f>_xll.BDP("FAST UW Equity","LAST_PRICE")</f>
        <v>80.319999999999993</v>
      </c>
      <c r="E186">
        <f>_xll.BDP("FAST UW Equity","LAST_PRICE")</f>
        <v>80.319999999999993</v>
      </c>
      <c r="F186">
        <f>_xll.BDP("FAST UW Equity","RT_PX_CHG_PCT_1D")</f>
        <v>-0.90069997310638428</v>
      </c>
      <c r="G186">
        <f>_xll.BDP("FAST UW Equity","REALTIME_5_DAY_CHANGE_PERCENT")</f>
        <v>-2.8426</v>
      </c>
      <c r="H186">
        <f>_xll.BDP("FAST UW Equity","CHG_PCT_1M_RT")</f>
        <v>-3.6120999999999999</v>
      </c>
      <c r="I186">
        <f>_xll.BDP("FAST UW Equity","CHG_PCT_3M_RT")</f>
        <v>17.961500000000001</v>
      </c>
      <c r="J186">
        <f>_xll.BDP("FAST UW Equity","CHG_PCT_YTD_RT")</f>
        <v>24.007999999999999</v>
      </c>
    </row>
    <row r="187" spans="1:10" x14ac:dyDescent="0.25">
      <c r="A187" t="s">
        <v>194</v>
      </c>
      <c r="B187">
        <f>_xll.BDP("FCX UN Equity","LAST_PRICE")</f>
        <v>43.73</v>
      </c>
      <c r="C187">
        <f>_xll.BDP("FCX UN Equity","LAST_PRICE")</f>
        <v>43.73</v>
      </c>
      <c r="D187">
        <f>_xll.BDP("FCX UN Equity","LAST_PRICE")</f>
        <v>43.73</v>
      </c>
      <c r="E187">
        <f>_xll.BDP("FCX UN Equity","LAST_PRICE")</f>
        <v>43.73</v>
      </c>
      <c r="F187">
        <f>_xll.BDP("FCX UN Equity","RT_PX_CHG_PCT_1D")</f>
        <v>3.9458000659942627</v>
      </c>
      <c r="G187">
        <f>_xll.BDP("FCX UN Equity","REALTIME_5_DAY_CHANGE_PERCENT")</f>
        <v>0.20619999999999999</v>
      </c>
      <c r="H187">
        <f>_xll.BDP("FCX UN Equity","CHG_PCT_1M_RT")</f>
        <v>-5.673</v>
      </c>
      <c r="I187">
        <f>_xll.BDP("FCX UN Equity","CHG_PCT_3M_RT")</f>
        <v>8.2425999999999995</v>
      </c>
      <c r="J187">
        <f>_xll.BDP("FCX UN Equity","CHG_PCT_YTD_RT")</f>
        <v>2.7248999999999999</v>
      </c>
    </row>
    <row r="188" spans="1:10" x14ac:dyDescent="0.25">
      <c r="A188" t="s">
        <v>195</v>
      </c>
      <c r="B188">
        <f>_xll.BDP("FDS UN Equity","LAST_PRICE")</f>
        <v>477.76</v>
      </c>
      <c r="C188">
        <f>_xll.BDP("FDS UN Equity","LAST_PRICE")</f>
        <v>477.76</v>
      </c>
      <c r="D188">
        <f>_xll.BDP("FDS UN Equity","LAST_PRICE")</f>
        <v>477.76</v>
      </c>
      <c r="E188">
        <f>_xll.BDP("FDS UN Equity","LAST_PRICE")</f>
        <v>477.76</v>
      </c>
      <c r="F188">
        <f>_xll.BDP("FDS UN Equity","RT_PX_CHG_PCT_1D")</f>
        <v>-0.46039998531341553</v>
      </c>
      <c r="G188">
        <f>_xll.BDP("FDS UN Equity","REALTIME_5_DAY_CHANGE_PERCENT")</f>
        <v>-2.3923999999999999</v>
      </c>
      <c r="H188">
        <f>_xll.BDP("FDS UN Equity","CHG_PCT_1M_RT")</f>
        <v>6.2799999999999995E-2</v>
      </c>
      <c r="I188">
        <f>_xll.BDP("FDS UN Equity","CHG_PCT_3M_RT")</f>
        <v>11.3919</v>
      </c>
      <c r="J188">
        <f>_xll.BDP("FDS UN Equity","CHG_PCT_YTD_RT")</f>
        <v>0.14879999999999999</v>
      </c>
    </row>
    <row r="189" spans="1:10" x14ac:dyDescent="0.25">
      <c r="A189" t="s">
        <v>196</v>
      </c>
      <c r="B189">
        <f>_xll.BDP("FDX UN Equity","LAST_PRICE")</f>
        <v>279.52999999999997</v>
      </c>
      <c r="C189">
        <f>_xll.BDP("FDX UN Equity","LAST_PRICE")</f>
        <v>279.52999999999997</v>
      </c>
      <c r="D189">
        <f>_xll.BDP("FDX UN Equity","LAST_PRICE")</f>
        <v>279.52999999999997</v>
      </c>
      <c r="E189">
        <f>_xll.BDP("FDX UN Equity","LAST_PRICE")</f>
        <v>279.52999999999997</v>
      </c>
      <c r="F189">
        <f>_xll.BDP("FDX UN Equity","RT_PX_CHG_PCT_1D")</f>
        <v>8.2299999892711639E-2</v>
      </c>
      <c r="G189">
        <f>_xll.BDP("FDX UN Equity","REALTIME_5_DAY_CHANGE_PERCENT")</f>
        <v>-5.7838000000000003</v>
      </c>
      <c r="H189">
        <f>_xll.BDP("FDX UN Equity","CHG_PCT_1M_RT")</f>
        <v>-2.3578000000000001</v>
      </c>
      <c r="I189">
        <f>_xll.BDP("FDX UN Equity","CHG_PCT_3M_RT")</f>
        <v>-1.3307</v>
      </c>
      <c r="J189">
        <f>_xll.BDP("FDX UN Equity","CHG_PCT_YTD_RT")</f>
        <v>10.4993</v>
      </c>
    </row>
    <row r="190" spans="1:10" x14ac:dyDescent="0.25">
      <c r="A190" t="s">
        <v>197</v>
      </c>
      <c r="B190">
        <f>_xll.BDP("FE UN Equity","LAST_PRICE")</f>
        <v>40.81</v>
      </c>
      <c r="C190">
        <f>_xll.BDP("FE UN Equity","LAST_PRICE")</f>
        <v>40.81</v>
      </c>
      <c r="D190">
        <f>_xll.BDP("FE UN Equity","LAST_PRICE")</f>
        <v>40.81</v>
      </c>
      <c r="E190">
        <f>_xll.BDP("FE UN Equity","LAST_PRICE")</f>
        <v>40.81</v>
      </c>
      <c r="F190">
        <f>_xll.BDP("FE UN Equity","RT_PX_CHG_PCT_1D")</f>
        <v>-0.39050000905990601</v>
      </c>
      <c r="G190">
        <f>_xll.BDP("FE UN Equity","REALTIME_5_DAY_CHANGE_PERCENT")</f>
        <v>-1.8754999999999999</v>
      </c>
      <c r="H190">
        <f>_xll.BDP("FE UN Equity","CHG_PCT_1M_RT")</f>
        <v>-1.7573000000000001</v>
      </c>
      <c r="I190">
        <f>_xll.BDP("FE UN Equity","CHG_PCT_3M_RT")</f>
        <v>-8.2508999999999997</v>
      </c>
      <c r="J190">
        <f>_xll.BDP("FE UN Equity","CHG_PCT_YTD_RT")</f>
        <v>11.3202</v>
      </c>
    </row>
    <row r="191" spans="1:10" x14ac:dyDescent="0.25">
      <c r="A191" t="s">
        <v>198</v>
      </c>
      <c r="B191">
        <f>_xll.BDP("FFIV UW Equity","LAST_PRICE")</f>
        <v>257.92</v>
      </c>
      <c r="C191">
        <f>_xll.BDP("FFIV UW Equity","LAST_PRICE")</f>
        <v>257.92</v>
      </c>
      <c r="D191">
        <f>_xll.BDP("FFIV UW Equity","LAST_PRICE")</f>
        <v>257.92</v>
      </c>
      <c r="E191">
        <f>_xll.BDP("FFIV UW Equity","LAST_PRICE")</f>
        <v>257.92</v>
      </c>
      <c r="F191">
        <f>_xll.BDP("FFIV UW Equity","RT_PX_CHG_PCT_1D")</f>
        <v>0.30329999327659607</v>
      </c>
      <c r="G191">
        <f>_xll.BDP("FFIV UW Equity","REALTIME_5_DAY_CHANGE_PERCENT")</f>
        <v>2.2924000000000002</v>
      </c>
      <c r="H191">
        <f>_xll.BDP("FFIV UW Equity","CHG_PCT_1M_RT")</f>
        <v>6.8833000000000002</v>
      </c>
      <c r="I191">
        <f>_xll.BDP("FFIV UW Equity","CHG_PCT_3M_RT")</f>
        <v>29.005199999999999</v>
      </c>
      <c r="J191">
        <f>_xll.BDP("FFIV UW Equity","CHG_PCT_YTD_RT")</f>
        <v>44.105499999999999</v>
      </c>
    </row>
    <row r="192" spans="1:10" x14ac:dyDescent="0.25">
      <c r="A192" t="s">
        <v>199</v>
      </c>
      <c r="B192">
        <f>_xll.BDP("FI UN Equity","LAST_PRICE")</f>
        <v>202.89</v>
      </c>
      <c r="C192">
        <f>_xll.BDP("FI UN Equity","LAST_PRICE")</f>
        <v>202.89</v>
      </c>
      <c r="D192">
        <f>_xll.BDP("FI UN Equity","LAST_PRICE")</f>
        <v>202.89</v>
      </c>
      <c r="E192">
        <f>_xll.BDP("FI UN Equity","LAST_PRICE")</f>
        <v>202.89</v>
      </c>
      <c r="F192">
        <f>_xll.BDP("FI UN Equity","RT_PX_CHG_PCT_1D")</f>
        <v>-2.1178998947143555</v>
      </c>
      <c r="G192">
        <f>_xll.BDP("FI UN Equity","REALTIME_5_DAY_CHANGE_PERCENT")</f>
        <v>-7.1483999999999996</v>
      </c>
      <c r="H192">
        <f>_xll.BDP("FI UN Equity","CHG_PCT_1M_RT")</f>
        <v>-3.7067000000000001</v>
      </c>
      <c r="I192">
        <f>_xll.BDP("FI UN Equity","CHG_PCT_3M_RT")</f>
        <v>17.658300000000001</v>
      </c>
      <c r="J192">
        <f>_xll.BDP("FI UN Equity","CHG_PCT_YTD_RT")</f>
        <v>52.732599999999998</v>
      </c>
    </row>
    <row r="193" spans="1:10" x14ac:dyDescent="0.25">
      <c r="A193" t="s">
        <v>200</v>
      </c>
      <c r="B193">
        <f>_xll.BDP("FICO UN Equity","LAST_PRICE")</f>
        <v>2227.11</v>
      </c>
      <c r="C193">
        <f>_xll.BDP("FICO UN Equity","LAST_PRICE")</f>
        <v>2227.11</v>
      </c>
      <c r="D193">
        <f>_xll.BDP("FICO UN Equity","LAST_PRICE")</f>
        <v>2227.11</v>
      </c>
      <c r="E193">
        <f>_xll.BDP("FICO UN Equity","LAST_PRICE")</f>
        <v>2227.11</v>
      </c>
      <c r="F193">
        <f>_xll.BDP("FICO UN Equity","RT_PX_CHG_PCT_1D")</f>
        <v>-6.101600170135498</v>
      </c>
      <c r="G193">
        <f>_xll.BDP("FICO UN Equity","REALTIME_5_DAY_CHANGE_PERCENT")</f>
        <v>-4.5023999999999997</v>
      </c>
      <c r="H193">
        <f>_xll.BDP("FICO UN Equity","CHG_PCT_1M_RT")</f>
        <v>-4.5096999999999996</v>
      </c>
      <c r="I193">
        <f>_xll.BDP("FICO UN Equity","CHG_PCT_3M_RT")</f>
        <v>25.3657</v>
      </c>
      <c r="J193">
        <f>_xll.BDP("FICO UN Equity","CHG_PCT_YTD_RT")</f>
        <v>91.330799999999996</v>
      </c>
    </row>
    <row r="194" spans="1:10" x14ac:dyDescent="0.25">
      <c r="A194" t="s">
        <v>201</v>
      </c>
      <c r="B194">
        <f>_xll.BDP("FIS UN Equity","LAST_PRICE")</f>
        <v>83.78</v>
      </c>
      <c r="C194">
        <f>_xll.BDP("FIS UN Equity","LAST_PRICE")</f>
        <v>83.78</v>
      </c>
      <c r="D194">
        <f>_xll.BDP("FIS UN Equity","LAST_PRICE")</f>
        <v>83.78</v>
      </c>
      <c r="E194">
        <f>_xll.BDP("FIS UN Equity","LAST_PRICE")</f>
        <v>83.78</v>
      </c>
      <c r="F194">
        <f>_xll.BDP("FIS UN Equity","RT_PX_CHG_PCT_1D")</f>
        <v>-1.4120999574661255</v>
      </c>
      <c r="G194">
        <f>_xll.BDP("FIS UN Equity","REALTIME_5_DAY_CHANGE_PERCENT")</f>
        <v>-1.5858000000000001</v>
      </c>
      <c r="H194">
        <f>_xll.BDP("FIS UN Equity","CHG_PCT_1M_RT")</f>
        <v>-4.8711000000000002</v>
      </c>
      <c r="I194">
        <f>_xll.BDP("FIS UN Equity","CHG_PCT_3M_RT")</f>
        <v>1.6871</v>
      </c>
      <c r="J194">
        <f>_xll.BDP("FIS UN Equity","CHG_PCT_YTD_RT")</f>
        <v>39.470599999999997</v>
      </c>
    </row>
    <row r="195" spans="1:10" x14ac:dyDescent="0.25">
      <c r="A195" t="s">
        <v>202</v>
      </c>
      <c r="B195">
        <f>_xll.BDP("FITB UW Equity","LAST_PRICE")</f>
        <v>46.53</v>
      </c>
      <c r="C195">
        <f>_xll.BDP("FITB UW Equity","LAST_PRICE")</f>
        <v>46.53</v>
      </c>
      <c r="D195">
        <f>_xll.BDP("FITB UW Equity","LAST_PRICE")</f>
        <v>46.53</v>
      </c>
      <c r="E195">
        <f>_xll.BDP("FITB UW Equity","LAST_PRICE")</f>
        <v>46.53</v>
      </c>
      <c r="F195">
        <f>_xll.BDP("FITB UW Equity","RT_PX_CHG_PCT_1D")</f>
        <v>-1.4404000043869019</v>
      </c>
      <c r="G195">
        <f>_xll.BDP("FITB UW Equity","REALTIME_5_DAY_CHANGE_PERCENT")</f>
        <v>-2.1863000000000001</v>
      </c>
      <c r="H195">
        <f>_xll.BDP("FITB UW Equity","CHG_PCT_1M_RT")</f>
        <v>0.5837</v>
      </c>
      <c r="I195">
        <f>_xll.BDP("FITB UW Equity","CHG_PCT_3M_RT")</f>
        <v>11.851000000000001</v>
      </c>
      <c r="J195">
        <f>_xll.BDP("FITB UW Equity","CHG_PCT_YTD_RT")</f>
        <v>34.908700000000003</v>
      </c>
    </row>
    <row r="196" spans="1:10" x14ac:dyDescent="0.25">
      <c r="A196" t="s">
        <v>203</v>
      </c>
      <c r="B196">
        <f>_xll.BDP("FMC UN Equity","LAST_PRICE")</f>
        <v>58.18</v>
      </c>
      <c r="C196">
        <f>_xll.BDP("FMC UN Equity","LAST_PRICE")</f>
        <v>58.18</v>
      </c>
      <c r="D196">
        <f>_xll.BDP("FMC UN Equity","LAST_PRICE")</f>
        <v>58.18</v>
      </c>
      <c r="E196">
        <f>_xll.BDP("FMC UN Equity","LAST_PRICE")</f>
        <v>58.18</v>
      </c>
      <c r="F196">
        <f>_xll.BDP("FMC UN Equity","RT_PX_CHG_PCT_1D")</f>
        <v>2.8278999328613281</v>
      </c>
      <c r="G196">
        <f>_xll.BDP("FMC UN Equity","REALTIME_5_DAY_CHANGE_PERCENT")</f>
        <v>-2.0209000000000001</v>
      </c>
      <c r="H196">
        <f>_xll.BDP("FMC UN Equity","CHG_PCT_1M_RT")</f>
        <v>-2.5461</v>
      </c>
      <c r="I196">
        <f>_xll.BDP("FMC UN Equity","CHG_PCT_3M_RT")</f>
        <v>-4.7323000000000004</v>
      </c>
      <c r="J196">
        <f>_xll.BDP("FMC UN Equity","CHG_PCT_YTD_RT")</f>
        <v>-7.7240000000000002</v>
      </c>
    </row>
    <row r="197" spans="1:10" x14ac:dyDescent="0.25">
      <c r="A197" t="s">
        <v>204</v>
      </c>
      <c r="B197">
        <f>_xll.BDP("FOX UW Equity","LAST_PRICE")</f>
        <v>43.75</v>
      </c>
      <c r="C197">
        <f>_xll.BDP("FOX UW Equity","LAST_PRICE")</f>
        <v>43.75</v>
      </c>
      <c r="D197">
        <f>_xll.BDP("FOX UW Equity","LAST_PRICE")</f>
        <v>43.75</v>
      </c>
      <c r="E197">
        <f>_xll.BDP("FOX UW Equity","LAST_PRICE")</f>
        <v>43.75</v>
      </c>
      <c r="F197">
        <f>_xll.BDP("FOX UW Equity","RT_PX_CHG_PCT_1D")</f>
        <v>-1.9937000274658203</v>
      </c>
      <c r="G197">
        <f>_xll.BDP("FOX UW Equity","REALTIME_5_DAY_CHANGE_PERCENT")</f>
        <v>-1.4862</v>
      </c>
      <c r="H197">
        <f>_xll.BDP("FOX UW Equity","CHG_PCT_1M_RT")</f>
        <v>5.2694999999999999</v>
      </c>
      <c r="I197">
        <f>_xll.BDP("FOX UW Equity","CHG_PCT_3M_RT")</f>
        <v>17.956299999999999</v>
      </c>
      <c r="J197">
        <f>_xll.BDP("FOX UW Equity","CHG_PCT_YTD_RT")</f>
        <v>58.227800000000002</v>
      </c>
    </row>
    <row r="198" spans="1:10" x14ac:dyDescent="0.25">
      <c r="A198" t="s">
        <v>205</v>
      </c>
      <c r="B198">
        <f>_xll.BDP("FOXA UW Equity","LAST_PRICE")</f>
        <v>46.23</v>
      </c>
      <c r="C198">
        <f>_xll.BDP("FOXA UW Equity","LAST_PRICE")</f>
        <v>46.23</v>
      </c>
      <c r="D198">
        <f>_xll.BDP("FOXA UW Equity","LAST_PRICE")</f>
        <v>46.23</v>
      </c>
      <c r="E198">
        <f>_xll.BDP("FOXA UW Equity","LAST_PRICE")</f>
        <v>46.23</v>
      </c>
      <c r="F198">
        <f>_xll.BDP("FOXA UW Equity","RT_PX_CHG_PCT_1D")</f>
        <v>-1.6382999420166016</v>
      </c>
      <c r="G198">
        <f>_xll.BDP("FOXA UW Equity","REALTIME_5_DAY_CHANGE_PERCENT")</f>
        <v>-1.1546000000000001</v>
      </c>
      <c r="H198">
        <f>_xll.BDP("FOXA UW Equity","CHG_PCT_1M_RT")</f>
        <v>3.6547000000000001</v>
      </c>
      <c r="I198">
        <f>_xll.BDP("FOXA UW Equity","CHG_PCT_3M_RT")</f>
        <v>15.401899999999999</v>
      </c>
      <c r="J198">
        <f>_xll.BDP("FOXA UW Equity","CHG_PCT_YTD_RT")</f>
        <v>55.814</v>
      </c>
    </row>
    <row r="199" spans="1:10" x14ac:dyDescent="0.25">
      <c r="A199" t="s">
        <v>206</v>
      </c>
      <c r="B199">
        <f>_xll.BDP("FRT UN Equity","LAST_PRICE")</f>
        <v>114.21</v>
      </c>
      <c r="C199">
        <f>_xll.BDP("FRT UN Equity","LAST_PRICE")</f>
        <v>114.21</v>
      </c>
      <c r="D199">
        <f>_xll.BDP("FRT UN Equity","LAST_PRICE")</f>
        <v>114.21</v>
      </c>
      <c r="E199">
        <f>_xll.BDP("FRT UN Equity","LAST_PRICE")</f>
        <v>114.21</v>
      </c>
      <c r="F199">
        <f>_xll.BDP("FRT UN Equity","RT_PX_CHG_PCT_1D")</f>
        <v>0.28099998831748962</v>
      </c>
      <c r="G199">
        <f>_xll.BDP("FRT UN Equity","REALTIME_5_DAY_CHANGE_PERCENT")</f>
        <v>-3.5000000000000003E-2</v>
      </c>
      <c r="H199">
        <f>_xll.BDP("FRT UN Equity","CHG_PCT_1M_RT")</f>
        <v>-0.12239999999999999</v>
      </c>
      <c r="I199">
        <f>_xll.BDP("FRT UN Equity","CHG_PCT_3M_RT")</f>
        <v>-2.4845999999999999</v>
      </c>
      <c r="J199">
        <f>_xll.BDP("FRT UN Equity","CHG_PCT_YTD_RT")</f>
        <v>10.829700000000001</v>
      </c>
    </row>
    <row r="200" spans="1:10" x14ac:dyDescent="0.25">
      <c r="A200" t="s">
        <v>207</v>
      </c>
      <c r="B200">
        <f>_xll.BDP("FSLR UW Equity","LAST_PRICE")</f>
        <v>200</v>
      </c>
      <c r="C200">
        <f>_xll.BDP("FSLR UW Equity","LAST_PRICE")</f>
        <v>200</v>
      </c>
      <c r="D200">
        <f>_xll.BDP("FSLR UW Equity","LAST_PRICE")</f>
        <v>200</v>
      </c>
      <c r="E200">
        <f>_xll.BDP("FSLR UW Equity","LAST_PRICE")</f>
        <v>200</v>
      </c>
      <c r="F200">
        <f>_xll.BDP("FSLR UW Equity","RT_PX_CHG_PCT_1D")</f>
        <v>2.9918999671936035</v>
      </c>
      <c r="G200">
        <f>_xll.BDP("FSLR UW Equity","REALTIME_5_DAY_CHANGE_PERCENT")</f>
        <v>-3.8092000000000001</v>
      </c>
      <c r="H200">
        <f>_xll.BDP("FSLR UW Equity","CHG_PCT_1M_RT")</f>
        <v>3.13</v>
      </c>
      <c r="I200">
        <f>_xll.BDP("FSLR UW Equity","CHG_PCT_3M_RT")</f>
        <v>-2.6101000000000001</v>
      </c>
      <c r="J200">
        <f>_xll.BDP("FSLR UW Equity","CHG_PCT_YTD_RT")</f>
        <v>16.0901</v>
      </c>
    </row>
    <row r="201" spans="1:10" x14ac:dyDescent="0.25">
      <c r="A201" t="s">
        <v>208</v>
      </c>
      <c r="B201">
        <f>_xll.BDP("FTNT UW Equity","LAST_PRICE")</f>
        <v>97.04</v>
      </c>
      <c r="C201">
        <f>_xll.BDP("FTNT UW Equity","LAST_PRICE")</f>
        <v>97.04</v>
      </c>
      <c r="D201">
        <f>_xll.BDP("FTNT UW Equity","LAST_PRICE")</f>
        <v>97.04</v>
      </c>
      <c r="E201">
        <f>_xll.BDP("FTNT UW Equity","LAST_PRICE")</f>
        <v>97.04</v>
      </c>
      <c r="F201">
        <f>_xll.BDP("FTNT UW Equity","RT_PX_CHG_PCT_1D")</f>
        <v>-2.1872999668121338</v>
      </c>
      <c r="G201">
        <f>_xll.BDP("FTNT UW Equity","REALTIME_5_DAY_CHANGE_PERCENT")</f>
        <v>1.8044</v>
      </c>
      <c r="H201">
        <f>_xll.BDP("FTNT UW Equity","CHG_PCT_1M_RT")</f>
        <v>5.4324000000000003</v>
      </c>
      <c r="I201">
        <f>_xll.BDP("FTNT UW Equity","CHG_PCT_3M_RT")</f>
        <v>29.214400000000001</v>
      </c>
      <c r="J201">
        <f>_xll.BDP("FTNT UW Equity","CHG_PCT_YTD_RT")</f>
        <v>65.795299999999997</v>
      </c>
    </row>
    <row r="202" spans="1:10" x14ac:dyDescent="0.25">
      <c r="A202" t="s">
        <v>209</v>
      </c>
      <c r="B202">
        <f>_xll.BDP("FTV UN Equity","LAST_PRICE")</f>
        <v>78.45</v>
      </c>
      <c r="C202">
        <f>_xll.BDP("FTV UN Equity","LAST_PRICE")</f>
        <v>78.45</v>
      </c>
      <c r="D202">
        <f>_xll.BDP("FTV UN Equity","LAST_PRICE")</f>
        <v>78.45</v>
      </c>
      <c r="E202">
        <f>_xll.BDP("FTV UN Equity","LAST_PRICE")</f>
        <v>78.45</v>
      </c>
      <c r="F202">
        <f>_xll.BDP("FTV UN Equity","RT_PX_CHG_PCT_1D")</f>
        <v>-0.55769997835159302</v>
      </c>
      <c r="G202">
        <f>_xll.BDP("FTV UN Equity","REALTIME_5_DAY_CHANGE_PERCENT")</f>
        <v>-0.64590000000000003</v>
      </c>
      <c r="H202">
        <f>_xll.BDP("FTV UN Equity","CHG_PCT_1M_RT")</f>
        <v>4.3217999999999996</v>
      </c>
      <c r="I202">
        <f>_xll.BDP("FTV UN Equity","CHG_PCT_3M_RT")</f>
        <v>8.4911999999999992</v>
      </c>
      <c r="J202">
        <f>_xll.BDP("FTV UN Equity","CHG_PCT_YTD_RT")</f>
        <v>6.5461999999999998</v>
      </c>
    </row>
    <row r="203" spans="1:10" x14ac:dyDescent="0.25">
      <c r="A203" t="s">
        <v>210</v>
      </c>
      <c r="B203">
        <f>_xll.BDP("GD UN Equity","LAST_PRICE")</f>
        <v>269.57</v>
      </c>
      <c r="C203">
        <f>_xll.BDP("GD UN Equity","LAST_PRICE")</f>
        <v>269.57</v>
      </c>
      <c r="D203">
        <f>_xll.BDP("GD UN Equity","LAST_PRICE")</f>
        <v>269.57</v>
      </c>
      <c r="E203">
        <f>_xll.BDP("GD UN Equity","LAST_PRICE")</f>
        <v>269.57</v>
      </c>
      <c r="F203">
        <f>_xll.BDP("GD UN Equity","RT_PX_CHG_PCT_1D")</f>
        <v>-0.82050001621246338</v>
      </c>
      <c r="G203">
        <f>_xll.BDP("GD UN Equity","REALTIME_5_DAY_CHANGE_PERCENT")</f>
        <v>-2.4851999999999999</v>
      </c>
      <c r="H203">
        <f>_xll.BDP("GD UN Equity","CHG_PCT_1M_RT")</f>
        <v>-12.893000000000001</v>
      </c>
      <c r="I203">
        <f>_xll.BDP("GD UN Equity","CHG_PCT_3M_RT")</f>
        <v>-10.6082</v>
      </c>
      <c r="J203">
        <f>_xll.BDP("GD UN Equity","CHG_PCT_YTD_RT")</f>
        <v>3.8125</v>
      </c>
    </row>
    <row r="204" spans="1:10" x14ac:dyDescent="0.25">
      <c r="A204" t="s">
        <v>211</v>
      </c>
      <c r="B204">
        <f>_xll.BDP("GDDY UN Equity","LAST_PRICE")</f>
        <v>203.39</v>
      </c>
      <c r="C204">
        <f>_xll.BDP("GDDY UN Equity","LAST_PRICE")</f>
        <v>203.39</v>
      </c>
      <c r="D204">
        <f>_xll.BDP("GDDY UN Equity","LAST_PRICE")</f>
        <v>203.39</v>
      </c>
      <c r="E204">
        <f>_xll.BDP("GDDY UN Equity","LAST_PRICE")</f>
        <v>203.39</v>
      </c>
      <c r="F204">
        <f>_xll.BDP("GDDY UN Equity","RT_PX_CHG_PCT_1D")</f>
        <v>-1.5347000360488892</v>
      </c>
      <c r="G204">
        <f>_xll.BDP("GDDY UN Equity","REALTIME_5_DAY_CHANGE_PERCENT")</f>
        <v>2.9197000000000002</v>
      </c>
      <c r="H204">
        <f>_xll.BDP("GDDY UN Equity","CHG_PCT_1M_RT")</f>
        <v>14.3668</v>
      </c>
      <c r="I204">
        <f>_xll.BDP("GDDY UN Equity","CHG_PCT_3M_RT")</f>
        <v>33.047699999999999</v>
      </c>
      <c r="J204">
        <f>_xll.BDP("GDDY UN Equity","CHG_PCT_YTD_RT")</f>
        <v>91.588200000000001</v>
      </c>
    </row>
    <row r="205" spans="1:10" x14ac:dyDescent="0.25">
      <c r="A205" t="s">
        <v>212</v>
      </c>
      <c r="B205">
        <f>_xll.BDP("GE UN Equity","LAST_PRICE")</f>
        <v>171.32</v>
      </c>
      <c r="C205">
        <f>_xll.BDP("GE UN Equity","LAST_PRICE")</f>
        <v>171.32</v>
      </c>
      <c r="D205">
        <f>_xll.BDP("GE UN Equity","LAST_PRICE")</f>
        <v>171.32</v>
      </c>
      <c r="E205">
        <f>_xll.BDP("GE UN Equity","LAST_PRICE")</f>
        <v>171.32</v>
      </c>
      <c r="F205">
        <f>_xll.BDP("GE UN Equity","RT_PX_CHG_PCT_1D")</f>
        <v>-2.4261999130249023</v>
      </c>
      <c r="G205">
        <f>_xll.BDP("GE UN Equity","REALTIME_5_DAY_CHANGE_PERCENT")</f>
        <v>-5.0542999999999996</v>
      </c>
      <c r="H205">
        <f>_xll.BDP("GE UN Equity","CHG_PCT_1M_RT")</f>
        <v>-7.2994000000000003</v>
      </c>
      <c r="I205">
        <f>_xll.BDP("GE UN Equity","CHG_PCT_3M_RT")</f>
        <v>3.6105</v>
      </c>
      <c r="J205">
        <f>_xll.BDP("GE UN Equity","CHG_PCT_YTD_RT")</f>
        <v>68.308999999999997</v>
      </c>
    </row>
    <row r="206" spans="1:10" x14ac:dyDescent="0.25">
      <c r="A206" t="s">
        <v>213</v>
      </c>
      <c r="B206">
        <f>_xll.BDP("GEHC UW Equity","LAST_PRICE")</f>
        <v>81.900000000000006</v>
      </c>
      <c r="C206">
        <f>_xll.BDP("GEHC UW Equity","LAST_PRICE")</f>
        <v>81.900000000000006</v>
      </c>
      <c r="D206">
        <f>_xll.BDP("GEHC UW Equity","LAST_PRICE")</f>
        <v>81.900000000000006</v>
      </c>
      <c r="E206">
        <f>_xll.BDP("GEHC UW Equity","LAST_PRICE")</f>
        <v>81.900000000000006</v>
      </c>
      <c r="F206">
        <f>_xll.BDP("GEHC UW Equity","RT_PX_CHG_PCT_1D")</f>
        <v>0.81239998340606689</v>
      </c>
      <c r="G206">
        <f>_xll.BDP("GEHC UW Equity","REALTIME_5_DAY_CHANGE_PERCENT")</f>
        <v>-1.4202999999999999</v>
      </c>
      <c r="H206">
        <f>_xll.BDP("GEHC UW Equity","CHG_PCT_1M_RT")</f>
        <v>-4.7009999999999996</v>
      </c>
      <c r="I206">
        <f>_xll.BDP("GEHC UW Equity","CHG_PCT_3M_RT")</f>
        <v>-3.7829000000000002</v>
      </c>
      <c r="J206">
        <f>_xll.BDP("GEHC UW Equity","CHG_PCT_YTD_RT")</f>
        <v>5.9234</v>
      </c>
    </row>
    <row r="207" spans="1:10" x14ac:dyDescent="0.25">
      <c r="A207" t="s">
        <v>214</v>
      </c>
      <c r="B207">
        <f>_xll.BDP("GEN UW Equity","LAST_PRICE")</f>
        <v>30.48</v>
      </c>
      <c r="C207">
        <f>_xll.BDP("GEN UW Equity","LAST_PRICE")</f>
        <v>30.48</v>
      </c>
      <c r="D207">
        <f>_xll.BDP("GEN UW Equity","LAST_PRICE")</f>
        <v>30.48</v>
      </c>
      <c r="E207">
        <f>_xll.BDP("GEN UW Equity","LAST_PRICE")</f>
        <v>30.48</v>
      </c>
      <c r="F207">
        <f>_xll.BDP("GEN UW Equity","RT_PX_CHG_PCT_1D")</f>
        <v>-2.1508998870849609</v>
      </c>
      <c r="G207">
        <f>_xll.BDP("GEN UW Equity","REALTIME_5_DAY_CHANGE_PERCENT")</f>
        <v>-1.4549000000000001</v>
      </c>
      <c r="H207">
        <f>_xll.BDP("GEN UW Equity","CHG_PCT_1M_RT")</f>
        <v>3.2170999999999998</v>
      </c>
      <c r="I207">
        <f>_xll.BDP("GEN UW Equity","CHG_PCT_3M_RT")</f>
        <v>18.507000000000001</v>
      </c>
      <c r="J207">
        <f>_xll.BDP("GEN UW Equity","CHG_PCT_YTD_RT")</f>
        <v>33.567</v>
      </c>
    </row>
    <row r="208" spans="1:10" x14ac:dyDescent="0.25">
      <c r="A208" t="s">
        <v>215</v>
      </c>
      <c r="B208">
        <f>_xll.BDP("GEV UN Equity","LAST_PRICE")</f>
        <v>335.25</v>
      </c>
      <c r="C208">
        <f>_xll.BDP("GEV UN Equity","LAST_PRICE")</f>
        <v>335.25</v>
      </c>
      <c r="D208">
        <f>_xll.BDP("GEV UN Equity","LAST_PRICE")</f>
        <v>335.25</v>
      </c>
      <c r="E208">
        <f>_xll.BDP("GEV UN Equity","LAST_PRICE")</f>
        <v>335.25</v>
      </c>
      <c r="F208">
        <f>_xll.BDP("GEV UN Equity","RT_PX_CHG_PCT_1D")</f>
        <v>-3.249500036239624</v>
      </c>
      <c r="G208">
        <f>_xll.BDP("GEV UN Equity","REALTIME_5_DAY_CHANGE_PERCENT")</f>
        <v>-0.6784</v>
      </c>
      <c r="H208">
        <f>_xll.BDP("GEV UN Equity","CHG_PCT_1M_RT")</f>
        <v>-1.7381</v>
      </c>
      <c r="I208">
        <f>_xll.BDP("GEV UN Equity","CHG_PCT_3M_RT")</f>
        <v>66.121600000000001</v>
      </c>
      <c r="J208" t="str">
        <f>_xll.BDP("GEV UN Equity","CHG_PCT_YTD_RT")</f>
        <v>#N/A N/A</v>
      </c>
    </row>
    <row r="209" spans="1:10" x14ac:dyDescent="0.25">
      <c r="A209" t="s">
        <v>216</v>
      </c>
      <c r="B209">
        <f>_xll.BDP("GILD UW Equity","LAST_PRICE")</f>
        <v>90.59</v>
      </c>
      <c r="C209">
        <f>_xll.BDP("GILD UW Equity","LAST_PRICE")</f>
        <v>90.59</v>
      </c>
      <c r="D209">
        <f>_xll.BDP("GILD UW Equity","LAST_PRICE")</f>
        <v>90.59</v>
      </c>
      <c r="E209">
        <f>_xll.BDP("GILD UW Equity","LAST_PRICE")</f>
        <v>90.59</v>
      </c>
      <c r="F209">
        <f>_xll.BDP("GILD UW Equity","RT_PX_CHG_PCT_1D")</f>
        <v>-1.6715999841690063</v>
      </c>
      <c r="G209">
        <f>_xll.BDP("GILD UW Equity","REALTIME_5_DAY_CHANGE_PERCENT")</f>
        <v>-3.6482000000000001</v>
      </c>
      <c r="H209">
        <f>_xll.BDP("GILD UW Equity","CHG_PCT_1M_RT")</f>
        <v>-6.1875</v>
      </c>
      <c r="I209">
        <f>_xll.BDP("GILD UW Equity","CHG_PCT_3M_RT")</f>
        <v>14.4247</v>
      </c>
      <c r="J209">
        <f>_xll.BDP("GILD UW Equity","CHG_PCT_YTD_RT")</f>
        <v>11.825699999999999</v>
      </c>
    </row>
    <row r="210" spans="1:10" x14ac:dyDescent="0.25">
      <c r="A210" t="s">
        <v>217</v>
      </c>
      <c r="B210">
        <f>_xll.BDP("GIS UN Equity","LAST_PRICE")</f>
        <v>65.89</v>
      </c>
      <c r="C210">
        <f>_xll.BDP("GIS UN Equity","LAST_PRICE")</f>
        <v>65.89</v>
      </c>
      <c r="D210">
        <f>_xll.BDP("GIS UN Equity","LAST_PRICE")</f>
        <v>65.89</v>
      </c>
      <c r="E210">
        <f>_xll.BDP("GIS UN Equity","LAST_PRICE")</f>
        <v>65.89</v>
      </c>
      <c r="F210">
        <f>_xll.BDP("GIS UN Equity","RT_PX_CHG_PCT_1D")</f>
        <v>1.2756999731063843</v>
      </c>
      <c r="G210">
        <f>_xll.BDP("GIS UN Equity","REALTIME_5_DAY_CHANGE_PERCENT")</f>
        <v>-1.6714</v>
      </c>
      <c r="H210">
        <f>_xll.BDP("GIS UN Equity","CHG_PCT_1M_RT")</f>
        <v>0.56469999999999998</v>
      </c>
      <c r="I210">
        <f>_xll.BDP("GIS UN Equity","CHG_PCT_3M_RT")</f>
        <v>-12.321999999999999</v>
      </c>
      <c r="J210">
        <f>_xll.BDP("GIS UN Equity","CHG_PCT_YTD_RT")</f>
        <v>1.1514</v>
      </c>
    </row>
    <row r="211" spans="1:10" x14ac:dyDescent="0.25">
      <c r="A211" t="s">
        <v>218</v>
      </c>
      <c r="B211">
        <f>_xll.BDP("GL UN Equity","LAST_PRICE")</f>
        <v>104.26</v>
      </c>
      <c r="C211">
        <f>_xll.BDP("GL UN Equity","LAST_PRICE")</f>
        <v>104.26</v>
      </c>
      <c r="D211">
        <f>_xll.BDP("GL UN Equity","LAST_PRICE")</f>
        <v>104.26</v>
      </c>
      <c r="E211">
        <f>_xll.BDP("GL UN Equity","LAST_PRICE")</f>
        <v>104.26</v>
      </c>
      <c r="F211">
        <f>_xll.BDP("GL UN Equity","RT_PX_CHG_PCT_1D")</f>
        <v>-0.47729998826980591</v>
      </c>
      <c r="G211">
        <f>_xll.BDP("GL UN Equity","REALTIME_5_DAY_CHANGE_PERCENT")</f>
        <v>-5.2526000000000002</v>
      </c>
      <c r="H211">
        <f>_xll.BDP("GL UN Equity","CHG_PCT_1M_RT")</f>
        <v>-4.5237999999999996</v>
      </c>
      <c r="I211">
        <f>_xll.BDP("GL UN Equity","CHG_PCT_3M_RT")</f>
        <v>0.87070000000000003</v>
      </c>
      <c r="J211">
        <f>_xll.BDP("GL UN Equity","CHG_PCT_YTD_RT")</f>
        <v>-14.3444</v>
      </c>
    </row>
    <row r="212" spans="1:10" x14ac:dyDescent="0.25">
      <c r="A212" t="s">
        <v>219</v>
      </c>
      <c r="B212">
        <f>_xll.BDP("GLW UN Equity","LAST_PRICE")</f>
        <v>48.51</v>
      </c>
      <c r="C212">
        <f>_xll.BDP("GLW UN Equity","LAST_PRICE")</f>
        <v>48.51</v>
      </c>
      <c r="D212">
        <f>_xll.BDP("GLW UN Equity","LAST_PRICE")</f>
        <v>48.51</v>
      </c>
      <c r="E212">
        <f>_xll.BDP("GLW UN Equity","LAST_PRICE")</f>
        <v>48.51</v>
      </c>
      <c r="F212">
        <f>_xll.BDP("GLW UN Equity","RT_PX_CHG_PCT_1D")</f>
        <v>-2.1185998916625977</v>
      </c>
      <c r="G212">
        <f>_xll.BDP("GLW UN Equity","REALTIME_5_DAY_CHANGE_PERCENT")</f>
        <v>-1.4824999999999999</v>
      </c>
      <c r="H212">
        <f>_xll.BDP("GLW UN Equity","CHG_PCT_1M_RT")</f>
        <v>-0.43099999999999999</v>
      </c>
      <c r="I212">
        <f>_xll.BDP("GLW UN Equity","CHG_PCT_3M_RT")</f>
        <v>18.403700000000001</v>
      </c>
      <c r="J212">
        <f>_xll.BDP("GLW UN Equity","CHG_PCT_YTD_RT")</f>
        <v>59.310299999999998</v>
      </c>
    </row>
    <row r="213" spans="1:10" x14ac:dyDescent="0.25">
      <c r="A213" t="s">
        <v>220</v>
      </c>
      <c r="B213">
        <f>_xll.BDP("GM UN Equity","LAST_PRICE")</f>
        <v>52.71</v>
      </c>
      <c r="C213">
        <f>_xll.BDP("GM UN Equity","LAST_PRICE")</f>
        <v>52.71</v>
      </c>
      <c r="D213">
        <f>_xll.BDP("GM UN Equity","LAST_PRICE")</f>
        <v>52.71</v>
      </c>
      <c r="E213">
        <f>_xll.BDP("GM UN Equity","LAST_PRICE")</f>
        <v>52.71</v>
      </c>
      <c r="F213">
        <f>_xll.BDP("GM UN Equity","RT_PX_CHG_PCT_1D")</f>
        <v>-1.3106000423431396</v>
      </c>
      <c r="G213">
        <f>_xll.BDP("GM UN Equity","REALTIME_5_DAY_CHANGE_PERCENT")</f>
        <v>-4.2332999999999998</v>
      </c>
      <c r="H213">
        <f>_xll.BDP("GM UN Equity","CHG_PCT_1M_RT")</f>
        <v>-5.1637000000000004</v>
      </c>
      <c r="I213">
        <f>_xll.BDP("GM UN Equity","CHG_PCT_3M_RT")</f>
        <v>11.202500000000001</v>
      </c>
      <c r="J213">
        <f>_xll.BDP("GM UN Equity","CHG_PCT_YTD_RT")</f>
        <v>46.742800000000003</v>
      </c>
    </row>
    <row r="214" spans="1:10" x14ac:dyDescent="0.25">
      <c r="A214" t="s">
        <v>221</v>
      </c>
      <c r="B214">
        <f>_xll.BDP("GNRC UN Equity","LAST_PRICE")</f>
        <v>176.91</v>
      </c>
      <c r="C214">
        <f>_xll.BDP("GNRC UN Equity","LAST_PRICE")</f>
        <v>176.91</v>
      </c>
      <c r="D214">
        <f>_xll.BDP("GNRC UN Equity","LAST_PRICE")</f>
        <v>176.91</v>
      </c>
      <c r="E214">
        <f>_xll.BDP("GNRC UN Equity","LAST_PRICE")</f>
        <v>176.91</v>
      </c>
      <c r="F214">
        <f>_xll.BDP("GNRC UN Equity","RT_PX_CHG_PCT_1D")</f>
        <v>-1.2889000177383423</v>
      </c>
      <c r="G214">
        <f>_xll.BDP("GNRC UN Equity","REALTIME_5_DAY_CHANGE_PERCENT")</f>
        <v>-5.6227999999999998</v>
      </c>
      <c r="H214">
        <f>_xll.BDP("GNRC UN Equity","CHG_PCT_1M_RT")</f>
        <v>-6.5697999999999999</v>
      </c>
      <c r="I214">
        <f>_xll.BDP("GNRC UN Equity","CHG_PCT_3M_RT")</f>
        <v>24.2607</v>
      </c>
      <c r="J214">
        <f>_xll.BDP("GNRC UN Equity","CHG_PCT_YTD_RT")</f>
        <v>36.884900000000002</v>
      </c>
    </row>
    <row r="215" spans="1:10" x14ac:dyDescent="0.25">
      <c r="A215" t="s">
        <v>222</v>
      </c>
      <c r="B215">
        <f>_xll.BDP("GOOG UW Equity","LAST_PRICE")</f>
        <v>177.1</v>
      </c>
      <c r="C215">
        <f>_xll.BDP("GOOG UW Equity","LAST_PRICE")</f>
        <v>177.1</v>
      </c>
      <c r="D215">
        <f>_xll.BDP("GOOG UW Equity","LAST_PRICE")</f>
        <v>177.1</v>
      </c>
      <c r="E215">
        <f>_xll.BDP("GOOG UW Equity","LAST_PRICE")</f>
        <v>177.1</v>
      </c>
      <c r="F215">
        <f>_xll.BDP("GOOG UW Equity","RT_PX_CHG_PCT_1D")</f>
        <v>0.4595000147819519</v>
      </c>
      <c r="G215">
        <f>_xll.BDP("GOOG UW Equity","REALTIME_5_DAY_CHANGE_PERCENT")</f>
        <v>2.3818000000000001</v>
      </c>
      <c r="H215">
        <f>_xll.BDP("GOOG UW Equity","CHG_PCT_1M_RT")</f>
        <v>-1.5345</v>
      </c>
      <c r="I215">
        <f>_xll.BDP("GOOG UW Equity","CHG_PCT_3M_RT")</f>
        <v>18.4299</v>
      </c>
      <c r="J215">
        <f>_xll.BDP("GOOG UW Equity","CHG_PCT_YTD_RT")</f>
        <v>25.665199999999999</v>
      </c>
    </row>
    <row r="216" spans="1:10" x14ac:dyDescent="0.25">
      <c r="A216" t="s">
        <v>223</v>
      </c>
      <c r="B216">
        <f>_xll.BDP("GOOGL UW Equity","LAST_PRICE")</f>
        <v>175.37</v>
      </c>
      <c r="C216">
        <f>_xll.BDP("GOOGL UW Equity","LAST_PRICE")</f>
        <v>175.37</v>
      </c>
      <c r="D216">
        <f>_xll.BDP("GOOGL UW Equity","LAST_PRICE")</f>
        <v>175.37</v>
      </c>
      <c r="E216">
        <f>_xll.BDP("GOOGL UW Equity","LAST_PRICE")</f>
        <v>175.37</v>
      </c>
      <c r="F216">
        <f>_xll.BDP("GOOGL UW Equity","RT_PX_CHG_PCT_1D")</f>
        <v>0.49279999732971191</v>
      </c>
      <c r="G216">
        <f>_xll.BDP("GOOGL UW Equity","REALTIME_5_DAY_CHANGE_PERCENT")</f>
        <v>2.2625000000000002</v>
      </c>
      <c r="H216">
        <f>_xll.BDP("GOOGL UW Equity","CHG_PCT_1M_RT")</f>
        <v>-1.6709000000000001</v>
      </c>
      <c r="I216">
        <f>_xll.BDP("GOOGL UW Equity","CHG_PCT_3M_RT")</f>
        <v>17.927499999999998</v>
      </c>
      <c r="J216">
        <f>_xll.BDP("GOOGL UW Equity","CHG_PCT_YTD_RT")</f>
        <v>25.542300000000001</v>
      </c>
    </row>
    <row r="217" spans="1:10" x14ac:dyDescent="0.25">
      <c r="A217" t="s">
        <v>224</v>
      </c>
      <c r="B217">
        <f>_xll.BDP("GPC UN Equity","LAST_PRICE")</f>
        <v>125.92</v>
      </c>
      <c r="C217">
        <f>_xll.BDP("GPC UN Equity","LAST_PRICE")</f>
        <v>125.92</v>
      </c>
      <c r="D217">
        <f>_xll.BDP("GPC UN Equity","LAST_PRICE")</f>
        <v>125.92</v>
      </c>
      <c r="E217">
        <f>_xll.BDP("GPC UN Equity","LAST_PRICE")</f>
        <v>125.92</v>
      </c>
      <c r="F217">
        <f>_xll.BDP("GPC UN Equity","RT_PX_CHG_PCT_1D")</f>
        <v>2.0255999565124512</v>
      </c>
      <c r="G217">
        <f>_xll.BDP("GPC UN Equity","REALTIME_5_DAY_CHANGE_PERCENT")</f>
        <v>-1.2624</v>
      </c>
      <c r="H217">
        <f>_xll.BDP("GPC UN Equity","CHG_PCT_1M_RT")</f>
        <v>2.8673999999999999</v>
      </c>
      <c r="I217">
        <f>_xll.BDP("GPC UN Equity","CHG_PCT_3M_RT")</f>
        <v>-7.8251999999999997</v>
      </c>
      <c r="J217">
        <f>_xll.BDP("GPC UN Equity","CHG_PCT_YTD_RT")</f>
        <v>-9.0830000000000002</v>
      </c>
    </row>
    <row r="218" spans="1:10" x14ac:dyDescent="0.25">
      <c r="A218" t="s">
        <v>225</v>
      </c>
      <c r="B218">
        <f>_xll.BDP("GPN UN Equity","LAST_PRICE")</f>
        <v>116.79</v>
      </c>
      <c r="C218">
        <f>_xll.BDP("GPN UN Equity","LAST_PRICE")</f>
        <v>116.79</v>
      </c>
      <c r="D218">
        <f>_xll.BDP("GPN UN Equity","LAST_PRICE")</f>
        <v>116.79</v>
      </c>
      <c r="E218">
        <f>_xll.BDP("GPN UN Equity","LAST_PRICE")</f>
        <v>116.79</v>
      </c>
      <c r="F218">
        <f>_xll.BDP("GPN UN Equity","RT_PX_CHG_PCT_1D")</f>
        <v>-0.88260000944137573</v>
      </c>
      <c r="G218">
        <f>_xll.BDP("GPN UN Equity","REALTIME_5_DAY_CHANGE_PERCENT")</f>
        <v>-1.1343000000000001</v>
      </c>
      <c r="H218">
        <f>_xll.BDP("GPN UN Equity","CHG_PCT_1M_RT")</f>
        <v>5.3300999999999998</v>
      </c>
      <c r="I218">
        <f>_xll.BDP("GPN UN Equity","CHG_PCT_3M_RT")</f>
        <v>6.1726999999999999</v>
      </c>
      <c r="J218">
        <f>_xll.BDP("GPN UN Equity","CHG_PCT_YTD_RT")</f>
        <v>-8.0394000000000005</v>
      </c>
    </row>
    <row r="219" spans="1:10" x14ac:dyDescent="0.25">
      <c r="A219" t="s">
        <v>226</v>
      </c>
      <c r="B219">
        <f>_xll.BDP("GRMN UN Equity","LAST_PRICE")</f>
        <v>219.33</v>
      </c>
      <c r="C219">
        <f>_xll.BDP("GRMN UN Equity","LAST_PRICE")</f>
        <v>219.33</v>
      </c>
      <c r="D219">
        <f>_xll.BDP("GRMN UN Equity","LAST_PRICE")</f>
        <v>219.33</v>
      </c>
      <c r="E219">
        <f>_xll.BDP("GRMN UN Equity","LAST_PRICE")</f>
        <v>219.33</v>
      </c>
      <c r="F219">
        <f>_xll.BDP("GRMN UN Equity","RT_PX_CHG_PCT_1D")</f>
        <v>0.34310001134872437</v>
      </c>
      <c r="G219">
        <f>_xll.BDP("GRMN UN Equity","REALTIME_5_DAY_CHANGE_PERCENT")</f>
        <v>2.7498999999999998</v>
      </c>
      <c r="H219">
        <f>_xll.BDP("GRMN UN Equity","CHG_PCT_1M_RT")</f>
        <v>3.1074000000000002</v>
      </c>
      <c r="I219">
        <f>_xll.BDP("GRMN UN Equity","CHG_PCT_3M_RT")</f>
        <v>19.8918</v>
      </c>
      <c r="J219">
        <f>_xll.BDP("GRMN UN Equity","CHG_PCT_YTD_RT")</f>
        <v>70.631699999999995</v>
      </c>
    </row>
    <row r="220" spans="1:10" x14ac:dyDescent="0.25">
      <c r="A220" t="s">
        <v>227</v>
      </c>
      <c r="B220">
        <f>_xll.BDP("GS UN Equity","LAST_PRICE")</f>
        <v>594.12</v>
      </c>
      <c r="C220">
        <f>_xll.BDP("GS UN Equity","LAST_PRICE")</f>
        <v>594.12</v>
      </c>
      <c r="D220">
        <f>_xll.BDP("GS UN Equity","LAST_PRICE")</f>
        <v>594.12</v>
      </c>
      <c r="E220">
        <f>_xll.BDP("GS UN Equity","LAST_PRICE")</f>
        <v>594.12</v>
      </c>
      <c r="F220">
        <f>_xll.BDP("GS UN Equity","RT_PX_CHG_PCT_1D")</f>
        <v>-0.92720001935958862</v>
      </c>
      <c r="G220">
        <f>_xll.BDP("GS UN Equity","REALTIME_5_DAY_CHANGE_PERCENT")</f>
        <v>-1.2614000000000001</v>
      </c>
      <c r="H220">
        <f>_xll.BDP("GS UN Equity","CHG_PCT_1M_RT")</f>
        <v>0.82479999999999998</v>
      </c>
      <c r="I220">
        <f>_xll.BDP("GS UN Equity","CHG_PCT_3M_RT")</f>
        <v>21.603899999999999</v>
      </c>
      <c r="J220">
        <f>_xll.BDP("GS UN Equity","CHG_PCT_YTD_RT")</f>
        <v>54.008899999999997</v>
      </c>
    </row>
    <row r="221" spans="1:10" x14ac:dyDescent="0.25">
      <c r="A221" t="s">
        <v>228</v>
      </c>
      <c r="B221">
        <f>_xll.BDP("GWW UN Equity","LAST_PRICE")</f>
        <v>1162.05</v>
      </c>
      <c r="C221">
        <f>_xll.BDP("GWW UN Equity","LAST_PRICE")</f>
        <v>1162.05</v>
      </c>
      <c r="D221">
        <f>_xll.BDP("GWW UN Equity","LAST_PRICE")</f>
        <v>1162.05</v>
      </c>
      <c r="E221">
        <f>_xll.BDP("GWW UN Equity","LAST_PRICE")</f>
        <v>1162.05</v>
      </c>
      <c r="F221">
        <f>_xll.BDP("GWW UN Equity","RT_PX_CHG_PCT_1D")</f>
        <v>-1.9499000310897827</v>
      </c>
      <c r="G221">
        <f>_xll.BDP("GWW UN Equity","REALTIME_5_DAY_CHANGE_PERCENT")</f>
        <v>-2.6751</v>
      </c>
      <c r="H221">
        <f>_xll.BDP("GWW UN Equity","CHG_PCT_1M_RT")</f>
        <v>-3.3517999999999999</v>
      </c>
      <c r="I221">
        <f>_xll.BDP("GWW UN Equity","CHG_PCT_3M_RT")</f>
        <v>19.535299999999999</v>
      </c>
      <c r="J221">
        <f>_xll.BDP("GWW UN Equity","CHG_PCT_YTD_RT")</f>
        <v>40.2273</v>
      </c>
    </row>
    <row r="222" spans="1:10" x14ac:dyDescent="0.25">
      <c r="A222" t="s">
        <v>229</v>
      </c>
      <c r="B222">
        <f>_xll.BDP("HAL UN Equity","LAST_PRICE")</f>
        <v>29.08</v>
      </c>
      <c r="C222">
        <f>_xll.BDP("HAL UN Equity","LAST_PRICE")</f>
        <v>29.08</v>
      </c>
      <c r="D222">
        <f>_xll.BDP("HAL UN Equity","LAST_PRICE")</f>
        <v>29.08</v>
      </c>
      <c r="E222">
        <f>_xll.BDP("HAL UN Equity","LAST_PRICE")</f>
        <v>29.08</v>
      </c>
      <c r="F222">
        <f>_xll.BDP("HAL UN Equity","RT_PX_CHG_PCT_1D")</f>
        <v>1.0424000024795532</v>
      </c>
      <c r="G222">
        <f>_xll.BDP("HAL UN Equity","REALTIME_5_DAY_CHANGE_PERCENT")</f>
        <v>-7.8579999999999997</v>
      </c>
      <c r="H222">
        <f>_xll.BDP("HAL UN Equity","CHG_PCT_1M_RT")</f>
        <v>-0.51319999999999999</v>
      </c>
      <c r="I222">
        <f>_xll.BDP("HAL UN Equity","CHG_PCT_3M_RT")</f>
        <v>1.3947000000000001</v>
      </c>
      <c r="J222">
        <f>_xll.BDP("HAL UN Equity","CHG_PCT_YTD_RT")</f>
        <v>-19.557400000000001</v>
      </c>
    </row>
    <row r="223" spans="1:10" x14ac:dyDescent="0.25">
      <c r="A223" t="s">
        <v>230</v>
      </c>
      <c r="B223">
        <f>_xll.BDP("HAS UW Equity","LAST_PRICE")</f>
        <v>64.98</v>
      </c>
      <c r="C223">
        <f>_xll.BDP("HAS UW Equity","LAST_PRICE")</f>
        <v>64.98</v>
      </c>
      <c r="D223">
        <f>_xll.BDP("HAS UW Equity","LAST_PRICE")</f>
        <v>64.98</v>
      </c>
      <c r="E223">
        <f>_xll.BDP("HAS UW Equity","LAST_PRICE")</f>
        <v>64.98</v>
      </c>
      <c r="F223">
        <f>_xll.BDP("HAS UW Equity","RT_PX_CHG_PCT_1D")</f>
        <v>-1.5155999660491943</v>
      </c>
      <c r="G223">
        <f>_xll.BDP("HAS UW Equity","REALTIME_5_DAY_CHANGE_PERCENT")</f>
        <v>0.38619999999999999</v>
      </c>
      <c r="H223">
        <f>_xll.BDP("HAS UW Equity","CHG_PCT_1M_RT")</f>
        <v>0.93200000000000005</v>
      </c>
      <c r="I223">
        <f>_xll.BDP("HAS UW Equity","CHG_PCT_3M_RT")</f>
        <v>-3.9184000000000001</v>
      </c>
      <c r="J223">
        <f>_xll.BDP("HAS UW Equity","CHG_PCT_YTD_RT")</f>
        <v>27.262</v>
      </c>
    </row>
    <row r="224" spans="1:10" x14ac:dyDescent="0.25">
      <c r="A224" t="s">
        <v>231</v>
      </c>
      <c r="B224">
        <f>_xll.BDP("HBAN UW Equity","LAST_PRICE")</f>
        <v>17.28</v>
      </c>
      <c r="C224">
        <f>_xll.BDP("HBAN UW Equity","LAST_PRICE")</f>
        <v>17.28</v>
      </c>
      <c r="D224">
        <f>_xll.BDP("HBAN UW Equity","LAST_PRICE")</f>
        <v>17.28</v>
      </c>
      <c r="E224">
        <f>_xll.BDP("HBAN UW Equity","LAST_PRICE")</f>
        <v>17.28</v>
      </c>
      <c r="F224">
        <f>_xll.BDP("HBAN UW Equity","RT_PX_CHG_PCT_1D")</f>
        <v>-1.8739000558853149</v>
      </c>
      <c r="G224">
        <f>_xll.BDP("HBAN UW Equity","REALTIME_5_DAY_CHANGE_PERCENT")</f>
        <v>-2.8121</v>
      </c>
      <c r="H224">
        <f>_xll.BDP("HBAN UW Equity","CHG_PCT_1M_RT")</f>
        <v>-5.7799999999999997E-2</v>
      </c>
      <c r="I224">
        <f>_xll.BDP("HBAN UW Equity","CHG_PCT_3M_RT")</f>
        <v>17.8718</v>
      </c>
      <c r="J224">
        <f>_xll.BDP("HBAN UW Equity","CHG_PCT_YTD_RT")</f>
        <v>35.8491</v>
      </c>
    </row>
    <row r="225" spans="1:10" x14ac:dyDescent="0.25">
      <c r="A225" t="s">
        <v>232</v>
      </c>
      <c r="B225">
        <f>_xll.BDP("HCA UN Equity","LAST_PRICE")</f>
        <v>318.5</v>
      </c>
      <c r="C225">
        <f>_xll.BDP("HCA UN Equity","LAST_PRICE")</f>
        <v>318.5</v>
      </c>
      <c r="D225">
        <f>_xll.BDP("HCA UN Equity","LAST_PRICE")</f>
        <v>318.5</v>
      </c>
      <c r="E225">
        <f>_xll.BDP("HCA UN Equity","LAST_PRICE")</f>
        <v>318.5</v>
      </c>
      <c r="F225">
        <f>_xll.BDP("HCA UN Equity","RT_PX_CHG_PCT_1D")</f>
        <v>-0.39089998602867126</v>
      </c>
      <c r="G225">
        <f>_xll.BDP("HCA UN Equity","REALTIME_5_DAY_CHANGE_PERCENT")</f>
        <v>-2.7867000000000002</v>
      </c>
      <c r="H225">
        <f>_xll.BDP("HCA UN Equity","CHG_PCT_1M_RT")</f>
        <v>-10.068899999999999</v>
      </c>
      <c r="I225">
        <f>_xll.BDP("HCA UN Equity","CHG_PCT_3M_RT")</f>
        <v>-17.262</v>
      </c>
      <c r="J225">
        <f>_xll.BDP("HCA UN Equity","CHG_PCT_YTD_RT")</f>
        <v>17.666599999999999</v>
      </c>
    </row>
    <row r="226" spans="1:10" x14ac:dyDescent="0.25">
      <c r="A226" t="s">
        <v>233</v>
      </c>
      <c r="B226">
        <f>_xll.BDP("HD UN Equity","LAST_PRICE")</f>
        <v>429.18</v>
      </c>
      <c r="C226">
        <f>_xll.BDP("HD UN Equity","LAST_PRICE")</f>
        <v>429.18</v>
      </c>
      <c r="D226">
        <f>_xll.BDP("HD UN Equity","LAST_PRICE")</f>
        <v>429.18</v>
      </c>
      <c r="E226">
        <f>_xll.BDP("HD UN Equity","LAST_PRICE")</f>
        <v>429.18</v>
      </c>
      <c r="F226">
        <f>_xll.BDP("HD UN Equity","RT_PX_CHG_PCT_1D")</f>
        <v>-0.50770002603530884</v>
      </c>
      <c r="G226">
        <f>_xll.BDP("HD UN Equity","REALTIME_5_DAY_CHANGE_PERCENT")</f>
        <v>0.52</v>
      </c>
      <c r="H226">
        <f>_xll.BDP("HD UN Equity","CHG_PCT_1M_RT")</f>
        <v>5.7354000000000003</v>
      </c>
      <c r="I226">
        <f>_xll.BDP("HD UN Equity","CHG_PCT_3M_RT")</f>
        <v>17.4163</v>
      </c>
      <c r="J226">
        <f>_xll.BDP("HD UN Equity","CHG_PCT_YTD_RT")</f>
        <v>23.843599999999999</v>
      </c>
    </row>
    <row r="227" spans="1:10" x14ac:dyDescent="0.25">
      <c r="A227" t="s">
        <v>234</v>
      </c>
      <c r="B227">
        <f>_xll.BDP("HES UN Equity","LAST_PRICE")</f>
        <v>142.44999999999999</v>
      </c>
      <c r="C227">
        <f>_xll.BDP("HES UN Equity","LAST_PRICE")</f>
        <v>142.44999999999999</v>
      </c>
      <c r="D227">
        <f>_xll.BDP("HES UN Equity","LAST_PRICE")</f>
        <v>142.44999999999999</v>
      </c>
      <c r="E227">
        <f>_xll.BDP("HES UN Equity","LAST_PRICE")</f>
        <v>142.44999999999999</v>
      </c>
      <c r="F227">
        <f>_xll.BDP("HES UN Equity","RT_PX_CHG_PCT_1D")</f>
        <v>0.64999997615814209</v>
      </c>
      <c r="G227">
        <f>_xll.BDP("HES UN Equity","REALTIME_5_DAY_CHANGE_PERCENT")</f>
        <v>-3.0689000000000002</v>
      </c>
      <c r="H227">
        <f>_xll.BDP("HES UN Equity","CHG_PCT_1M_RT")</f>
        <v>0.18990000000000001</v>
      </c>
      <c r="I227">
        <f>_xll.BDP("HES UN Equity","CHG_PCT_3M_RT")</f>
        <v>10.529199999999999</v>
      </c>
      <c r="J227">
        <f>_xll.BDP("HES UN Equity","CHG_PCT_YTD_RT")</f>
        <v>-1.1861999999999999</v>
      </c>
    </row>
    <row r="228" spans="1:10" x14ac:dyDescent="0.25">
      <c r="A228" t="s">
        <v>235</v>
      </c>
      <c r="B228">
        <f>_xll.BDP("HIG UN Equity","LAST_PRICE")</f>
        <v>116.21</v>
      </c>
      <c r="C228">
        <f>_xll.BDP("HIG UN Equity","LAST_PRICE")</f>
        <v>116.21</v>
      </c>
      <c r="D228">
        <f>_xll.BDP("HIG UN Equity","LAST_PRICE")</f>
        <v>116.21</v>
      </c>
      <c r="E228">
        <f>_xll.BDP("HIG UN Equity","LAST_PRICE")</f>
        <v>116.21</v>
      </c>
      <c r="F228">
        <f>_xll.BDP("HIG UN Equity","RT_PX_CHG_PCT_1D")</f>
        <v>-2.7857000827789307</v>
      </c>
      <c r="G228">
        <f>_xll.BDP("HIG UN Equity","REALTIME_5_DAY_CHANGE_PERCENT")</f>
        <v>-4.133</v>
      </c>
      <c r="H228">
        <f>_xll.BDP("HIG UN Equity","CHG_PCT_1M_RT")</f>
        <v>-1.0388999999999999</v>
      </c>
      <c r="I228">
        <f>_xll.BDP("HIG UN Equity","CHG_PCT_3M_RT")</f>
        <v>-0.5988</v>
      </c>
      <c r="J228">
        <f>_xll.BDP("HIG UN Equity","CHG_PCT_YTD_RT")</f>
        <v>44.575800000000001</v>
      </c>
    </row>
    <row r="229" spans="1:10" x14ac:dyDescent="0.25">
      <c r="A229" t="s">
        <v>236</v>
      </c>
      <c r="B229">
        <f>_xll.BDP("HII UN Equity","LAST_PRICE")</f>
        <v>193.25</v>
      </c>
      <c r="C229">
        <f>_xll.BDP("HII UN Equity","LAST_PRICE")</f>
        <v>193.25</v>
      </c>
      <c r="D229">
        <f>_xll.BDP("HII UN Equity","LAST_PRICE")</f>
        <v>193.25</v>
      </c>
      <c r="E229">
        <f>_xll.BDP("HII UN Equity","LAST_PRICE")</f>
        <v>193.25</v>
      </c>
      <c r="F229">
        <f>_xll.BDP("HII UN Equity","RT_PX_CHG_PCT_1D")</f>
        <v>2.8199000358581543</v>
      </c>
      <c r="G229">
        <f>_xll.BDP("HII UN Equity","REALTIME_5_DAY_CHANGE_PERCENT")</f>
        <v>-0.81610000000000005</v>
      </c>
      <c r="H229">
        <f>_xll.BDP("HII UN Equity","CHG_PCT_1M_RT")</f>
        <v>-4.6432000000000002</v>
      </c>
      <c r="I229">
        <f>_xll.BDP("HII UN Equity","CHG_PCT_3M_RT")</f>
        <v>-27.8218</v>
      </c>
      <c r="J229">
        <f>_xll.BDP("HII UN Equity","CHG_PCT_YTD_RT")</f>
        <v>-25.57</v>
      </c>
    </row>
    <row r="230" spans="1:10" x14ac:dyDescent="0.25">
      <c r="A230" t="s">
        <v>237</v>
      </c>
      <c r="B230">
        <f>_xll.BDP("HLT UN Equity","LAST_PRICE")</f>
        <v>250</v>
      </c>
      <c r="C230">
        <f>_xll.BDP("HLT UN Equity","LAST_PRICE")</f>
        <v>250</v>
      </c>
      <c r="D230">
        <f>_xll.BDP("HLT UN Equity","LAST_PRICE")</f>
        <v>250</v>
      </c>
      <c r="E230">
        <f>_xll.BDP("HLT UN Equity","LAST_PRICE")</f>
        <v>250</v>
      </c>
      <c r="F230">
        <f>_xll.BDP("HLT UN Equity","RT_PX_CHG_PCT_1D")</f>
        <v>-3.2732000350952148</v>
      </c>
      <c r="G230">
        <f>_xll.BDP("HLT UN Equity","REALTIME_5_DAY_CHANGE_PERCENT")</f>
        <v>-0.18759999999999999</v>
      </c>
      <c r="H230">
        <f>_xll.BDP("HLT UN Equity","CHG_PCT_1M_RT")</f>
        <v>0.94889999999999997</v>
      </c>
      <c r="I230">
        <f>_xll.BDP("HLT UN Equity","CHG_PCT_3M_RT")</f>
        <v>16.311499999999999</v>
      </c>
      <c r="J230">
        <f>_xll.BDP("HLT UN Equity","CHG_PCT_YTD_RT")</f>
        <v>37.294699999999999</v>
      </c>
    </row>
    <row r="231" spans="1:10" x14ac:dyDescent="0.25">
      <c r="A231" t="s">
        <v>238</v>
      </c>
      <c r="B231">
        <f>_xll.BDP("HOLX UW Equity","LAST_PRICE")</f>
        <v>75.790000000000006</v>
      </c>
      <c r="C231">
        <f>_xll.BDP("HOLX UW Equity","LAST_PRICE")</f>
        <v>75.790000000000006</v>
      </c>
      <c r="D231">
        <f>_xll.BDP("HOLX UW Equity","LAST_PRICE")</f>
        <v>75.790000000000006</v>
      </c>
      <c r="E231">
        <f>_xll.BDP("HOLX UW Equity","LAST_PRICE")</f>
        <v>75.790000000000006</v>
      </c>
      <c r="F231">
        <f>_xll.BDP("HOLX UW Equity","RT_PX_CHG_PCT_1D")</f>
        <v>0.59729999303817749</v>
      </c>
      <c r="G231">
        <f>_xll.BDP("HOLX UW Equity","REALTIME_5_DAY_CHANGE_PERCENT")</f>
        <v>-4.0632999999999999</v>
      </c>
      <c r="H231">
        <f>_xll.BDP("HOLX UW Equity","CHG_PCT_1M_RT")</f>
        <v>-3.7709000000000001</v>
      </c>
      <c r="I231">
        <f>_xll.BDP("HOLX UW Equity","CHG_PCT_3M_RT")</f>
        <v>-8.3444000000000003</v>
      </c>
      <c r="J231">
        <f>_xll.BDP("HOLX UW Equity","CHG_PCT_YTD_RT")</f>
        <v>6.0742000000000003</v>
      </c>
    </row>
    <row r="232" spans="1:10" x14ac:dyDescent="0.25">
      <c r="A232" t="s">
        <v>239</v>
      </c>
      <c r="B232">
        <f>_xll.BDP("HON UW Equity","LAST_PRICE")</f>
        <v>225.09</v>
      </c>
      <c r="C232">
        <f>_xll.BDP("HON UW Equity","LAST_PRICE")</f>
        <v>225.09</v>
      </c>
      <c r="D232">
        <f>_xll.BDP("HON UW Equity","LAST_PRICE")</f>
        <v>225.09</v>
      </c>
      <c r="E232">
        <f>_xll.BDP("HON UW Equity","LAST_PRICE")</f>
        <v>225.09</v>
      </c>
      <c r="F232">
        <f>_xll.BDP("HON UW Equity","RT_PX_CHG_PCT_1D")</f>
        <v>-0.56980001926422119</v>
      </c>
      <c r="G232">
        <f>_xll.BDP("HON UW Equity","REALTIME_5_DAY_CHANGE_PERCENT")</f>
        <v>-2.1135000000000002</v>
      </c>
      <c r="H232">
        <f>_xll.BDP("HON UW Equity","CHG_PCT_1M_RT")</f>
        <v>2.5514000000000001</v>
      </c>
      <c r="I232">
        <f>_xll.BDP("HON UW Equity","CHG_PCT_3M_RT")</f>
        <v>11.896000000000001</v>
      </c>
      <c r="J232">
        <f>_xll.BDP("HON UW Equity","CHG_PCT_YTD_RT")</f>
        <v>7.3338999999999999</v>
      </c>
    </row>
    <row r="233" spans="1:10" x14ac:dyDescent="0.25">
      <c r="A233" t="s">
        <v>240</v>
      </c>
      <c r="B233">
        <f>_xll.BDP("HPE UN Equity","LAST_PRICE")</f>
        <v>23.11</v>
      </c>
      <c r="C233">
        <f>_xll.BDP("HPE UN Equity","LAST_PRICE")</f>
        <v>23.11</v>
      </c>
      <c r="D233">
        <f>_xll.BDP("HPE UN Equity","LAST_PRICE")</f>
        <v>23.11</v>
      </c>
      <c r="E233">
        <f>_xll.BDP("HPE UN Equity","LAST_PRICE")</f>
        <v>23.11</v>
      </c>
      <c r="F233">
        <f>_xll.BDP("HPE UN Equity","RT_PX_CHG_PCT_1D")</f>
        <v>-3.5072999000549316</v>
      </c>
      <c r="G233">
        <f>_xll.BDP("HPE UN Equity","REALTIME_5_DAY_CHANGE_PERCENT")</f>
        <v>8.7529000000000003</v>
      </c>
      <c r="H233">
        <f>_xll.BDP("HPE UN Equity","CHG_PCT_1M_RT")</f>
        <v>4.8548</v>
      </c>
      <c r="I233">
        <f>_xll.BDP("HPE UN Equity","CHG_PCT_3M_RT")</f>
        <v>31.306799999999999</v>
      </c>
      <c r="J233">
        <f>_xll.BDP("HPE UN Equity","CHG_PCT_YTD_RT")</f>
        <v>36.101300000000002</v>
      </c>
    </row>
    <row r="234" spans="1:10" x14ac:dyDescent="0.25">
      <c r="A234" t="s">
        <v>241</v>
      </c>
      <c r="B234">
        <f>_xll.BDP("HPQ UN Equity","LAST_PRICE")</f>
        <v>36.450000000000003</v>
      </c>
      <c r="C234">
        <f>_xll.BDP("HPQ UN Equity","LAST_PRICE")</f>
        <v>36.450000000000003</v>
      </c>
      <c r="D234">
        <f>_xll.BDP("HPQ UN Equity","LAST_PRICE")</f>
        <v>36.450000000000003</v>
      </c>
      <c r="E234">
        <f>_xll.BDP("HPQ UN Equity","LAST_PRICE")</f>
        <v>36.450000000000003</v>
      </c>
      <c r="F234">
        <f>_xll.BDP("HPQ UN Equity","RT_PX_CHG_PCT_1D")</f>
        <v>0.69059997797012329</v>
      </c>
      <c r="G234">
        <f>_xll.BDP("HPQ UN Equity","REALTIME_5_DAY_CHANGE_PERCENT")</f>
        <v>0</v>
      </c>
      <c r="H234">
        <f>_xll.BDP("HPQ UN Equity","CHG_PCT_1M_RT")</f>
        <v>-1.0048999999999999</v>
      </c>
      <c r="I234">
        <f>_xll.BDP("HPQ UN Equity","CHG_PCT_3M_RT")</f>
        <v>6.6413000000000002</v>
      </c>
      <c r="J234">
        <f>_xll.BDP("HPQ UN Equity","CHG_PCT_YTD_RT")</f>
        <v>21.136600000000001</v>
      </c>
    </row>
    <row r="235" spans="1:10" x14ac:dyDescent="0.25">
      <c r="A235" t="s">
        <v>242</v>
      </c>
      <c r="B235">
        <f>_xll.BDP("HRL UN Equity","LAST_PRICE")</f>
        <v>33.18</v>
      </c>
      <c r="C235">
        <f>_xll.BDP("HRL UN Equity","LAST_PRICE")</f>
        <v>33.18</v>
      </c>
      <c r="D235">
        <f>_xll.BDP("HRL UN Equity","LAST_PRICE")</f>
        <v>33.18</v>
      </c>
      <c r="E235">
        <f>_xll.BDP("HRL UN Equity","LAST_PRICE")</f>
        <v>33.18</v>
      </c>
      <c r="F235">
        <f>_xll.BDP("HRL UN Equity","RT_PX_CHG_PCT_1D")</f>
        <v>2.1865999698638916</v>
      </c>
      <c r="G235">
        <f>_xll.BDP("HRL UN Equity","REALTIME_5_DAY_CHANGE_PERCENT")</f>
        <v>3.2357999999999998</v>
      </c>
      <c r="H235">
        <f>_xll.BDP("HRL UN Equity","CHG_PCT_1M_RT")</f>
        <v>9.4327000000000005</v>
      </c>
      <c r="I235">
        <f>_xll.BDP("HRL UN Equity","CHG_PCT_3M_RT")</f>
        <v>2.4074</v>
      </c>
      <c r="J235">
        <f>_xll.BDP("HRL UN Equity","CHG_PCT_YTD_RT")</f>
        <v>3.3323</v>
      </c>
    </row>
    <row r="236" spans="1:10" x14ac:dyDescent="0.25">
      <c r="A236" t="s">
        <v>243</v>
      </c>
      <c r="B236">
        <f>_xll.BDP("HSIC UW Equity","LAST_PRICE")</f>
        <v>74.98</v>
      </c>
      <c r="C236">
        <f>_xll.BDP("HSIC UW Equity","LAST_PRICE")</f>
        <v>74.98</v>
      </c>
      <c r="D236">
        <f>_xll.BDP("HSIC UW Equity","LAST_PRICE")</f>
        <v>74.98</v>
      </c>
      <c r="E236">
        <f>_xll.BDP("HSIC UW Equity","LAST_PRICE")</f>
        <v>74.98</v>
      </c>
      <c r="F236">
        <f>_xll.BDP("HSIC UW Equity","RT_PX_CHG_PCT_1D")</f>
        <v>2.7123000621795654</v>
      </c>
      <c r="G236">
        <f>_xll.BDP("HSIC UW Equity","REALTIME_5_DAY_CHANGE_PERCENT")</f>
        <v>-1.9869000000000001</v>
      </c>
      <c r="H236">
        <f>_xll.BDP("HSIC UW Equity","CHG_PCT_1M_RT")</f>
        <v>10.264699999999999</v>
      </c>
      <c r="I236">
        <f>_xll.BDP("HSIC UW Equity","CHG_PCT_3M_RT")</f>
        <v>8.8401999999999994</v>
      </c>
      <c r="J236">
        <f>_xll.BDP("HSIC UW Equity","CHG_PCT_YTD_RT")</f>
        <v>-0.96419999999999995</v>
      </c>
    </row>
    <row r="237" spans="1:10" x14ac:dyDescent="0.25">
      <c r="A237" t="s">
        <v>244</v>
      </c>
      <c r="B237">
        <f>_xll.BDP("HST UW Equity","LAST_PRICE")</f>
        <v>18.940000000000001</v>
      </c>
      <c r="C237">
        <f>_xll.BDP("HST UW Equity","LAST_PRICE")</f>
        <v>18.940000000000001</v>
      </c>
      <c r="D237">
        <f>_xll.BDP("HST UW Equity","LAST_PRICE")</f>
        <v>18.940000000000001</v>
      </c>
      <c r="E237">
        <f>_xll.BDP("HST UW Equity","LAST_PRICE")</f>
        <v>18.940000000000001</v>
      </c>
      <c r="F237">
        <f>_xll.BDP("HST UW Equity","RT_PX_CHG_PCT_1D")</f>
        <v>0.74470001459121704</v>
      </c>
      <c r="G237">
        <f>_xll.BDP("HST UW Equity","REALTIME_5_DAY_CHANGE_PERCENT")</f>
        <v>2.9908000000000001</v>
      </c>
      <c r="H237">
        <f>_xll.BDP("HST UW Equity","CHG_PCT_1M_RT")</f>
        <v>5.1638000000000002</v>
      </c>
      <c r="I237">
        <f>_xll.BDP("HST UW Equity","CHG_PCT_3M_RT")</f>
        <v>12.9398</v>
      </c>
      <c r="J237">
        <f>_xll.BDP("HST UW Equity","CHG_PCT_YTD_RT")</f>
        <v>-2.7221000000000002</v>
      </c>
    </row>
    <row r="238" spans="1:10" x14ac:dyDescent="0.25">
      <c r="A238" t="s">
        <v>245</v>
      </c>
      <c r="B238">
        <f>_xll.BDP("HSY UN Equity","LAST_PRICE")</f>
        <v>193.65</v>
      </c>
      <c r="C238">
        <f>_xll.BDP("HSY UN Equity","LAST_PRICE")</f>
        <v>193.65</v>
      </c>
      <c r="D238">
        <f>_xll.BDP("HSY UN Equity","LAST_PRICE")</f>
        <v>193.65</v>
      </c>
      <c r="E238">
        <f>_xll.BDP("HSY UN Equity","LAST_PRICE")</f>
        <v>193.65</v>
      </c>
      <c r="F238">
        <f>_xll.BDP("HSY UN Equity","RT_PX_CHG_PCT_1D")</f>
        <v>10.847200393676758</v>
      </c>
      <c r="G238">
        <f>_xll.BDP("HSY UN Equity","REALTIME_5_DAY_CHANGE_PERCENT")</f>
        <v>8.9023000000000003</v>
      </c>
      <c r="H238">
        <f>_xll.BDP("HSY UN Equity","CHG_PCT_1M_RT")</f>
        <v>10.235099999999999</v>
      </c>
      <c r="I238">
        <f>_xll.BDP("HSY UN Equity","CHG_PCT_3M_RT")</f>
        <v>-4.7232000000000003</v>
      </c>
      <c r="J238">
        <f>_xll.BDP("HSY UN Equity","CHG_PCT_YTD_RT")</f>
        <v>3.8672</v>
      </c>
    </row>
    <row r="239" spans="1:10" x14ac:dyDescent="0.25">
      <c r="A239" t="s">
        <v>246</v>
      </c>
      <c r="B239">
        <f>_xll.BDP("HUBB UN Equity","LAST_PRICE")</f>
        <v>452.22</v>
      </c>
      <c r="C239">
        <f>_xll.BDP("HUBB UN Equity","LAST_PRICE")</f>
        <v>452.22</v>
      </c>
      <c r="D239">
        <f>_xll.BDP("HUBB UN Equity","LAST_PRICE")</f>
        <v>452.22</v>
      </c>
      <c r="E239">
        <f>_xll.BDP("HUBB UN Equity","LAST_PRICE")</f>
        <v>452.22</v>
      </c>
      <c r="F239">
        <f>_xll.BDP("HUBB UN Equity","RT_PX_CHG_PCT_1D")</f>
        <v>-2.1105000972747803</v>
      </c>
      <c r="G239">
        <f>_xll.BDP("HUBB UN Equity","REALTIME_5_DAY_CHANGE_PERCENT")</f>
        <v>-1.0956999999999999</v>
      </c>
      <c r="H239">
        <f>_xll.BDP("HUBB UN Equity","CHG_PCT_1M_RT")</f>
        <v>-3.3573</v>
      </c>
      <c r="I239">
        <f>_xll.BDP("HUBB UN Equity","CHG_PCT_3M_RT")</f>
        <v>19.597000000000001</v>
      </c>
      <c r="J239">
        <f>_xll.BDP("HUBB UN Equity","CHG_PCT_YTD_RT")</f>
        <v>37.482100000000003</v>
      </c>
    </row>
    <row r="240" spans="1:10" x14ac:dyDescent="0.25">
      <c r="A240" t="s">
        <v>247</v>
      </c>
      <c r="B240">
        <f>_xll.BDP("HUM UN Equity","LAST_PRICE")</f>
        <v>286.24</v>
      </c>
      <c r="C240">
        <f>_xll.BDP("HUM UN Equity","LAST_PRICE")</f>
        <v>286.24</v>
      </c>
      <c r="D240">
        <f>_xll.BDP("HUM UN Equity","LAST_PRICE")</f>
        <v>286.24</v>
      </c>
      <c r="E240">
        <f>_xll.BDP("HUM UN Equity","LAST_PRICE")</f>
        <v>286.24</v>
      </c>
      <c r="F240">
        <f>_xll.BDP("HUM UN Equity","RT_PX_CHG_PCT_1D")</f>
        <v>1.6008000373840332</v>
      </c>
      <c r="G240">
        <f>_xll.BDP("HUM UN Equity","REALTIME_5_DAY_CHANGE_PERCENT")</f>
        <v>-2.3504999999999998</v>
      </c>
      <c r="H240">
        <f>_xll.BDP("HUM UN Equity","CHG_PCT_1M_RT")</f>
        <v>-0.65249999999999997</v>
      </c>
      <c r="I240">
        <f>_xll.BDP("HUM UN Equity","CHG_PCT_3M_RT")</f>
        <v>-16.732600000000001</v>
      </c>
      <c r="J240">
        <f>_xll.BDP("HUM UN Equity","CHG_PCT_YTD_RT")</f>
        <v>-37.476199999999999</v>
      </c>
    </row>
    <row r="241" spans="1:10" x14ac:dyDescent="0.25">
      <c r="A241" t="s">
        <v>248</v>
      </c>
      <c r="B241">
        <f>_xll.BDP("HWM UN Equity","LAST_PRICE")</f>
        <v>113.75</v>
      </c>
      <c r="C241">
        <f>_xll.BDP("HWM UN Equity","LAST_PRICE")</f>
        <v>113.75</v>
      </c>
      <c r="D241">
        <f>_xll.BDP("HWM UN Equity","LAST_PRICE")</f>
        <v>113.75</v>
      </c>
      <c r="E241">
        <f>_xll.BDP("HWM UN Equity","LAST_PRICE")</f>
        <v>113.75</v>
      </c>
      <c r="F241">
        <f>_xll.BDP("HWM UN Equity","RT_PX_CHG_PCT_1D")</f>
        <v>-3.8543000221252441</v>
      </c>
      <c r="G241">
        <f>_xll.BDP("HWM UN Equity","REALTIME_5_DAY_CHANGE_PERCENT")</f>
        <v>-3.3477999999999999</v>
      </c>
      <c r="H241">
        <f>_xll.BDP("HWM UN Equity","CHG_PCT_1M_RT")</f>
        <v>8.7999999999999995E-2</v>
      </c>
      <c r="I241">
        <f>_xll.BDP("HWM UN Equity","CHG_PCT_3M_RT")</f>
        <v>21.411000000000001</v>
      </c>
      <c r="J241">
        <f>_xll.BDP("HWM UN Equity","CHG_PCT_YTD_RT")</f>
        <v>110.1811</v>
      </c>
    </row>
    <row r="242" spans="1:10" x14ac:dyDescent="0.25">
      <c r="A242" t="s">
        <v>249</v>
      </c>
      <c r="B242">
        <f>_xll.BDP("IBM UN Equity","LAST_PRICE")</f>
        <v>230</v>
      </c>
      <c r="C242">
        <f>_xll.BDP("IBM UN Equity","LAST_PRICE")</f>
        <v>230</v>
      </c>
      <c r="D242">
        <f>_xll.BDP("IBM UN Equity","LAST_PRICE")</f>
        <v>230</v>
      </c>
      <c r="E242">
        <f>_xll.BDP("IBM UN Equity","LAST_PRICE")</f>
        <v>230</v>
      </c>
      <c r="F242">
        <f>_xll.BDP("IBM UN Equity","RT_PX_CHG_PCT_1D")</f>
        <v>-3.3775999546051025</v>
      </c>
      <c r="G242">
        <f>_xll.BDP("IBM UN Equity","REALTIME_5_DAY_CHANGE_PERCENT")</f>
        <v>1.1477999999999999</v>
      </c>
      <c r="H242">
        <f>_xll.BDP("IBM UN Equity","CHG_PCT_1M_RT")</f>
        <v>7.6173999999999999</v>
      </c>
      <c r="I242">
        <f>_xll.BDP("IBM UN Equity","CHG_PCT_3M_RT")</f>
        <v>13.0055</v>
      </c>
      <c r="J242">
        <f>_xll.BDP("IBM UN Equity","CHG_PCT_YTD_RT")</f>
        <v>40.629800000000003</v>
      </c>
    </row>
    <row r="243" spans="1:10" x14ac:dyDescent="0.25">
      <c r="A243" t="s">
        <v>250</v>
      </c>
      <c r="B243">
        <f>_xll.BDP("ICE UN Equity","LAST_PRICE")</f>
        <v>156.07</v>
      </c>
      <c r="C243">
        <f>_xll.BDP("ICE UN Equity","LAST_PRICE")</f>
        <v>156.07</v>
      </c>
      <c r="D243">
        <f>_xll.BDP("ICE UN Equity","LAST_PRICE")</f>
        <v>156.07</v>
      </c>
      <c r="E243">
        <f>_xll.BDP("ICE UN Equity","LAST_PRICE")</f>
        <v>156.07</v>
      </c>
      <c r="F243">
        <f>_xll.BDP("ICE UN Equity","RT_PX_CHG_PCT_1D")</f>
        <v>8.9800000190734863E-2</v>
      </c>
      <c r="G243">
        <f>_xll.BDP("ICE UN Equity","REALTIME_5_DAY_CHANGE_PERCENT")</f>
        <v>-1.4025000000000001</v>
      </c>
      <c r="H243">
        <f>_xll.BDP("ICE UN Equity","CHG_PCT_1M_RT")</f>
        <v>-0.2238</v>
      </c>
      <c r="I243">
        <f>_xll.BDP("ICE UN Equity","CHG_PCT_3M_RT")</f>
        <v>-3.4817999999999998</v>
      </c>
      <c r="J243">
        <f>_xll.BDP("ICE UN Equity","CHG_PCT_YTD_RT")</f>
        <v>21.5215</v>
      </c>
    </row>
    <row r="244" spans="1:10" x14ac:dyDescent="0.25">
      <c r="A244" t="s">
        <v>251</v>
      </c>
      <c r="B244">
        <f>_xll.BDP("IDXX UW Equity","LAST_PRICE")</f>
        <v>450.68</v>
      </c>
      <c r="C244">
        <f>_xll.BDP("IDXX UW Equity","LAST_PRICE")</f>
        <v>450.68</v>
      </c>
      <c r="D244">
        <f>_xll.BDP("IDXX UW Equity","LAST_PRICE")</f>
        <v>450.68</v>
      </c>
      <c r="E244">
        <f>_xll.BDP("IDXX UW Equity","LAST_PRICE")</f>
        <v>450.68</v>
      </c>
      <c r="F244">
        <f>_xll.BDP("IDXX UW Equity","RT_PX_CHG_PCT_1D")</f>
        <v>3.440500020980835</v>
      </c>
      <c r="G244">
        <f>_xll.BDP("IDXX UW Equity","REALTIME_5_DAY_CHANGE_PERCENT")</f>
        <v>4.6219999999999999</v>
      </c>
      <c r="H244">
        <f>_xll.BDP("IDXX UW Equity","CHG_PCT_1M_RT")</f>
        <v>4.0159000000000002</v>
      </c>
      <c r="I244">
        <f>_xll.BDP("IDXX UW Equity","CHG_PCT_3M_RT")</f>
        <v>-6.1748000000000003</v>
      </c>
      <c r="J244">
        <f>_xll.BDP("IDXX UW Equity","CHG_PCT_YTD_RT")</f>
        <v>-18.803699999999999</v>
      </c>
    </row>
    <row r="245" spans="1:10" x14ac:dyDescent="0.25">
      <c r="A245" t="s">
        <v>252</v>
      </c>
      <c r="B245">
        <f>_xll.BDP("IEX UN Equity","LAST_PRICE")</f>
        <v>229.65</v>
      </c>
      <c r="C245">
        <f>_xll.BDP("IEX UN Equity","LAST_PRICE")</f>
        <v>229.65</v>
      </c>
      <c r="D245">
        <f>_xll.BDP("IEX UN Equity","LAST_PRICE")</f>
        <v>229.65</v>
      </c>
      <c r="E245">
        <f>_xll.BDP("IEX UN Equity","LAST_PRICE")</f>
        <v>229.65</v>
      </c>
      <c r="F245">
        <f>_xll.BDP("IEX UN Equity","RT_PX_CHG_PCT_1D")</f>
        <v>-2.6100000366568565E-2</v>
      </c>
      <c r="G245">
        <f>_xll.BDP("IEX UN Equity","REALTIME_5_DAY_CHANGE_PERCENT")</f>
        <v>-0.93179999999999996</v>
      </c>
      <c r="H245">
        <f>_xll.BDP("IEX UN Equity","CHG_PCT_1M_RT")</f>
        <v>0.49890000000000001</v>
      </c>
      <c r="I245">
        <f>_xll.BDP("IEX UN Equity","CHG_PCT_3M_RT")</f>
        <v>16.473099999999999</v>
      </c>
      <c r="J245">
        <f>_xll.BDP("IEX UN Equity","CHG_PCT_YTD_RT")</f>
        <v>5.7759</v>
      </c>
    </row>
    <row r="246" spans="1:10" x14ac:dyDescent="0.25">
      <c r="A246" t="s">
        <v>253</v>
      </c>
      <c r="B246">
        <f>_xll.BDP("IFF UN Equity","LAST_PRICE")</f>
        <v>89.13</v>
      </c>
      <c r="C246">
        <f>_xll.BDP("IFF UN Equity","LAST_PRICE")</f>
        <v>89.13</v>
      </c>
      <c r="D246">
        <f>_xll.BDP("IFF UN Equity","LAST_PRICE")</f>
        <v>89.13</v>
      </c>
      <c r="E246">
        <f>_xll.BDP("IFF UN Equity","LAST_PRICE")</f>
        <v>89.13</v>
      </c>
      <c r="F246">
        <f>_xll.BDP("IFF UN Equity","RT_PX_CHG_PCT_1D")</f>
        <v>0.2362000048160553</v>
      </c>
      <c r="G246">
        <f>_xll.BDP("IFF UN Equity","REALTIME_5_DAY_CHANGE_PERCENT")</f>
        <v>-2.3447</v>
      </c>
      <c r="H246">
        <f>_xll.BDP("IFF UN Equity","CHG_PCT_1M_RT")</f>
        <v>-3.4135</v>
      </c>
      <c r="I246">
        <f>_xll.BDP("IFF UN Equity","CHG_PCT_3M_RT")</f>
        <v>-13.8508</v>
      </c>
      <c r="J246">
        <f>_xll.BDP("IFF UN Equity","CHG_PCT_YTD_RT")</f>
        <v>10.0778</v>
      </c>
    </row>
    <row r="247" spans="1:10" x14ac:dyDescent="0.25">
      <c r="A247" t="s">
        <v>254</v>
      </c>
      <c r="B247">
        <f>_xll.BDP("INCY UW Equity","LAST_PRICE")</f>
        <v>72.11</v>
      </c>
      <c r="C247">
        <f>_xll.BDP("INCY UW Equity","LAST_PRICE")</f>
        <v>72.11</v>
      </c>
      <c r="D247">
        <f>_xll.BDP("INCY UW Equity","LAST_PRICE")</f>
        <v>72.11</v>
      </c>
      <c r="E247">
        <f>_xll.BDP("INCY UW Equity","LAST_PRICE")</f>
        <v>72.11</v>
      </c>
      <c r="F247">
        <f>_xll.BDP("INCY UW Equity","RT_PX_CHG_PCT_1D")</f>
        <v>-5.0184001922607422</v>
      </c>
      <c r="G247">
        <f>_xll.BDP("INCY UW Equity","REALTIME_5_DAY_CHANGE_PERCENT")</f>
        <v>-1.5428999999999999</v>
      </c>
      <c r="H247">
        <f>_xll.BDP("INCY UW Equity","CHG_PCT_1M_RT")</f>
        <v>-13.516400000000001</v>
      </c>
      <c r="I247">
        <f>_xll.BDP("INCY UW Equity","CHG_PCT_3M_RT")</f>
        <v>15.8208</v>
      </c>
      <c r="J247">
        <f>_xll.BDP("INCY UW Equity","CHG_PCT_YTD_RT")</f>
        <v>14.8431</v>
      </c>
    </row>
    <row r="248" spans="1:10" x14ac:dyDescent="0.25">
      <c r="A248" t="s">
        <v>255</v>
      </c>
      <c r="B248">
        <f>_xll.BDP("INTC UW Equity","LAST_PRICE")</f>
        <v>20.81</v>
      </c>
      <c r="C248">
        <f>_xll.BDP("INTC UW Equity","LAST_PRICE")</f>
        <v>20.81</v>
      </c>
      <c r="D248">
        <f>_xll.BDP("INTC UW Equity","LAST_PRICE")</f>
        <v>20.81</v>
      </c>
      <c r="E248">
        <f>_xll.BDP("INTC UW Equity","LAST_PRICE")</f>
        <v>20.81</v>
      </c>
      <c r="F248">
        <f>_xll.BDP("INTC UW Equity","RT_PX_CHG_PCT_1D")</f>
        <v>-0.52579998970031738</v>
      </c>
      <c r="G248">
        <f>_xll.BDP("INTC UW Equity","REALTIME_5_DAY_CHANGE_PERCENT")</f>
        <v>-13.038</v>
      </c>
      <c r="H248">
        <f>_xll.BDP("INTC UW Equity","CHG_PCT_1M_RT")</f>
        <v>-20.572500000000002</v>
      </c>
      <c r="I248">
        <f>_xll.BDP("INTC UW Equity","CHG_PCT_3M_RT")</f>
        <v>9.1242999999999999</v>
      </c>
      <c r="J248">
        <f>_xll.BDP("INTC UW Equity","CHG_PCT_YTD_RT")</f>
        <v>-58.5871</v>
      </c>
    </row>
    <row r="249" spans="1:10" x14ac:dyDescent="0.25">
      <c r="A249" t="s">
        <v>256</v>
      </c>
      <c r="B249">
        <f>_xll.BDP("INTU UW Equity","LAST_PRICE")</f>
        <v>646.58000000000004</v>
      </c>
      <c r="C249">
        <f>_xll.BDP("INTU UW Equity","LAST_PRICE")</f>
        <v>646.58000000000004</v>
      </c>
      <c r="D249">
        <f>_xll.BDP("INTU UW Equity","LAST_PRICE")</f>
        <v>646.58000000000004</v>
      </c>
      <c r="E249">
        <f>_xll.BDP("INTU UW Equity","LAST_PRICE")</f>
        <v>646.58000000000004</v>
      </c>
      <c r="F249">
        <f>_xll.BDP("INTU UW Equity","RT_PX_CHG_PCT_1D")</f>
        <v>1.7000000923871994E-2</v>
      </c>
      <c r="G249">
        <f>_xll.BDP("INTU UW Equity","REALTIME_5_DAY_CHANGE_PERCENT")</f>
        <v>1.9730000000000001</v>
      </c>
      <c r="H249">
        <f>_xll.BDP("INTU UW Equity","CHG_PCT_1M_RT")</f>
        <v>-5.5011999999999999</v>
      </c>
      <c r="I249">
        <f>_xll.BDP("INTU UW Equity","CHG_PCT_3M_RT")</f>
        <v>3.1244999999999998</v>
      </c>
      <c r="J249">
        <f>_xll.BDP("INTU UW Equity","CHG_PCT_YTD_RT")</f>
        <v>3.4478</v>
      </c>
    </row>
    <row r="250" spans="1:10" x14ac:dyDescent="0.25">
      <c r="A250" t="s">
        <v>257</v>
      </c>
      <c r="B250">
        <f>_xll.BDP("INVH UN Equity","LAST_PRICE")</f>
        <v>33.68</v>
      </c>
      <c r="C250">
        <f>_xll.BDP("INVH UN Equity","LAST_PRICE")</f>
        <v>33.68</v>
      </c>
      <c r="D250">
        <f>_xll.BDP("INVH UN Equity","LAST_PRICE")</f>
        <v>33.68</v>
      </c>
      <c r="E250">
        <f>_xll.BDP("INVH UN Equity","LAST_PRICE")</f>
        <v>33.68</v>
      </c>
      <c r="F250">
        <f>_xll.BDP("INVH UN Equity","RT_PX_CHG_PCT_1D")</f>
        <v>0.56730002164840698</v>
      </c>
      <c r="G250">
        <f>_xll.BDP("INVH UN Equity","REALTIME_5_DAY_CHANGE_PERCENT")</f>
        <v>-0.64900000000000002</v>
      </c>
      <c r="H250">
        <f>_xll.BDP("INVH UN Equity","CHG_PCT_1M_RT")</f>
        <v>-5.9299999999999999E-2</v>
      </c>
      <c r="I250">
        <f>_xll.BDP("INVH UN Equity","CHG_PCT_3M_RT")</f>
        <v>-5.6318000000000001</v>
      </c>
      <c r="J250">
        <f>_xll.BDP("INVH UN Equity","CHG_PCT_YTD_RT")</f>
        <v>-1.2605999999999999</v>
      </c>
    </row>
    <row r="251" spans="1:10" x14ac:dyDescent="0.25">
      <c r="A251" t="s">
        <v>258</v>
      </c>
      <c r="B251">
        <f>_xll.BDP("IP UN Equity","LAST_PRICE")</f>
        <v>55.78</v>
      </c>
      <c r="C251">
        <f>_xll.BDP("IP UN Equity","LAST_PRICE")</f>
        <v>55.78</v>
      </c>
      <c r="D251">
        <f>_xll.BDP("IP UN Equity","LAST_PRICE")</f>
        <v>55.78</v>
      </c>
      <c r="E251">
        <f>_xll.BDP("IP UN Equity","LAST_PRICE")</f>
        <v>55.78</v>
      </c>
      <c r="F251">
        <f>_xll.BDP("IP UN Equity","RT_PX_CHG_PCT_1D")</f>
        <v>-1.761199951171875</v>
      </c>
      <c r="G251">
        <f>_xll.BDP("IP UN Equity","REALTIME_5_DAY_CHANGE_PERCENT")</f>
        <v>-4.5842999999999998</v>
      </c>
      <c r="H251">
        <f>_xll.BDP("IP UN Equity","CHG_PCT_1M_RT")</f>
        <v>-2.7884000000000002</v>
      </c>
      <c r="I251">
        <f>_xll.BDP("IP UN Equity","CHG_PCT_3M_RT")</f>
        <v>17.160299999999999</v>
      </c>
      <c r="J251">
        <f>_xll.BDP("IP UN Equity","CHG_PCT_YTD_RT")</f>
        <v>54.301499999999997</v>
      </c>
    </row>
    <row r="252" spans="1:10" x14ac:dyDescent="0.25">
      <c r="A252" t="s">
        <v>259</v>
      </c>
      <c r="B252">
        <f>_xll.BDP("IPG UN Equity","LAST_PRICE")</f>
        <v>30.3</v>
      </c>
      <c r="C252">
        <f>_xll.BDP("IPG UN Equity","LAST_PRICE")</f>
        <v>30.3</v>
      </c>
      <c r="D252">
        <f>_xll.BDP("IPG UN Equity","LAST_PRICE")</f>
        <v>30.3</v>
      </c>
      <c r="E252">
        <f>_xll.BDP("IPG UN Equity","LAST_PRICE")</f>
        <v>30.3</v>
      </c>
      <c r="F252">
        <f>_xll.BDP("IPG UN Equity","RT_PX_CHG_PCT_1D")</f>
        <v>3.55430006980896</v>
      </c>
      <c r="G252">
        <f>_xll.BDP("IPG UN Equity","REALTIME_5_DAY_CHANGE_PERCENT")</f>
        <v>0.59760000000000002</v>
      </c>
      <c r="H252">
        <f>_xll.BDP("IPG UN Equity","CHG_PCT_1M_RT")</f>
        <v>1.5755999999999999</v>
      </c>
      <c r="I252">
        <f>_xll.BDP("IPG UN Equity","CHG_PCT_3M_RT")</f>
        <v>-2.4468999999999999</v>
      </c>
      <c r="J252">
        <f>_xll.BDP("IPG UN Equity","CHG_PCT_YTD_RT")</f>
        <v>-7.1691000000000003</v>
      </c>
    </row>
    <row r="253" spans="1:10" x14ac:dyDescent="0.25">
      <c r="A253" t="s">
        <v>260</v>
      </c>
      <c r="B253">
        <f>_xll.BDP("IQV UN Equity","LAST_PRICE")</f>
        <v>206.44</v>
      </c>
      <c r="C253">
        <f>_xll.BDP("IQV UN Equity","LAST_PRICE")</f>
        <v>206.44</v>
      </c>
      <c r="D253">
        <f>_xll.BDP("IQV UN Equity","LAST_PRICE")</f>
        <v>206.44</v>
      </c>
      <c r="E253">
        <f>_xll.BDP("IQV UN Equity","LAST_PRICE")</f>
        <v>206.44</v>
      </c>
      <c r="F253">
        <f>_xll.BDP("IQV UN Equity","RT_PX_CHG_PCT_1D")</f>
        <v>1.8803000450134277</v>
      </c>
      <c r="G253">
        <f>_xll.BDP("IQV UN Equity","REALTIME_5_DAY_CHANGE_PERCENT")</f>
        <v>2.3043999999999998</v>
      </c>
      <c r="H253">
        <f>_xll.BDP("IQV UN Equity","CHG_PCT_1M_RT")</f>
        <v>-5.8341000000000003</v>
      </c>
      <c r="I253">
        <f>_xll.BDP("IQV UN Equity","CHG_PCT_3M_RT")</f>
        <v>-14.294</v>
      </c>
      <c r="J253">
        <f>_xll.BDP("IQV UN Equity","CHG_PCT_YTD_RT")</f>
        <v>-10.7788</v>
      </c>
    </row>
    <row r="254" spans="1:10" x14ac:dyDescent="0.25">
      <c r="A254" t="s">
        <v>261</v>
      </c>
      <c r="B254">
        <f>_xll.BDP("IR UN Equity","LAST_PRICE")</f>
        <v>102.54</v>
      </c>
      <c r="C254">
        <f>_xll.BDP("IR UN Equity","LAST_PRICE")</f>
        <v>102.54</v>
      </c>
      <c r="D254">
        <f>_xll.BDP("IR UN Equity","LAST_PRICE")</f>
        <v>102.54</v>
      </c>
      <c r="E254">
        <f>_xll.BDP("IR UN Equity","LAST_PRICE")</f>
        <v>102.54</v>
      </c>
      <c r="F254">
        <f>_xll.BDP("IR UN Equity","RT_PX_CHG_PCT_1D")</f>
        <v>0.25420001149177551</v>
      </c>
      <c r="G254">
        <f>_xll.BDP("IR UN Equity","REALTIME_5_DAY_CHANGE_PERCENT")</f>
        <v>-2.4542999999999999</v>
      </c>
      <c r="H254">
        <f>_xll.BDP("IR UN Equity","CHG_PCT_1M_RT")</f>
        <v>-6.8199999999999997E-2</v>
      </c>
      <c r="I254">
        <f>_xll.BDP("IR UN Equity","CHG_PCT_3M_RT")</f>
        <v>17.255600000000001</v>
      </c>
      <c r="J254">
        <f>_xll.BDP("IR UN Equity","CHG_PCT_YTD_RT")</f>
        <v>32.583399999999997</v>
      </c>
    </row>
    <row r="255" spans="1:10" x14ac:dyDescent="0.25">
      <c r="A255" t="s">
        <v>262</v>
      </c>
      <c r="B255">
        <f>_xll.BDP("IRM UN Equity","LAST_PRICE")</f>
        <v>114.34</v>
      </c>
      <c r="C255">
        <f>_xll.BDP("IRM UN Equity","LAST_PRICE")</f>
        <v>114.34</v>
      </c>
      <c r="D255">
        <f>_xll.BDP("IRM UN Equity","LAST_PRICE")</f>
        <v>114.34</v>
      </c>
      <c r="E255">
        <f>_xll.BDP("IRM UN Equity","LAST_PRICE")</f>
        <v>114.34</v>
      </c>
      <c r="F255">
        <f>_xll.BDP("IRM UN Equity","RT_PX_CHG_PCT_1D")</f>
        <v>-4.8435001373291016</v>
      </c>
      <c r="G255">
        <f>_xll.BDP("IRM UN Equity","REALTIME_5_DAY_CHANGE_PERCENT")</f>
        <v>-5.9626999999999999</v>
      </c>
      <c r="H255">
        <f>_xll.BDP("IRM UN Equity","CHG_PCT_1M_RT")</f>
        <v>-4.4858000000000002</v>
      </c>
      <c r="I255">
        <f>_xll.BDP("IRM UN Equity","CHG_PCT_3M_RT")</f>
        <v>3.5781999999999998</v>
      </c>
      <c r="J255">
        <f>_xll.BDP("IRM UN Equity","CHG_PCT_YTD_RT")</f>
        <v>63.389499999999998</v>
      </c>
    </row>
    <row r="256" spans="1:10" x14ac:dyDescent="0.25">
      <c r="A256" t="s">
        <v>263</v>
      </c>
      <c r="B256">
        <f>_xll.BDP("ISRG UW Equity","LAST_PRICE")</f>
        <v>538.86</v>
      </c>
      <c r="C256">
        <f>_xll.BDP("ISRG UW Equity","LAST_PRICE")</f>
        <v>538.86</v>
      </c>
      <c r="D256">
        <f>_xll.BDP("ISRG UW Equity","LAST_PRICE")</f>
        <v>538.86</v>
      </c>
      <c r="E256">
        <f>_xll.BDP("ISRG UW Equity","LAST_PRICE")</f>
        <v>538.86</v>
      </c>
      <c r="F256">
        <f>_xll.BDP("ISRG UW Equity","RT_PX_CHG_PCT_1D")</f>
        <v>-2.0984001159667969</v>
      </c>
      <c r="G256">
        <f>_xll.BDP("ISRG UW Equity","REALTIME_5_DAY_CHANGE_PERCENT")</f>
        <v>-0.73499999999999999</v>
      </c>
      <c r="H256">
        <f>_xll.BDP("ISRG UW Equity","CHG_PCT_1M_RT")</f>
        <v>0.44919999999999999</v>
      </c>
      <c r="I256">
        <f>_xll.BDP("ISRG UW Equity","CHG_PCT_3M_RT")</f>
        <v>12.4053</v>
      </c>
      <c r="J256">
        <f>_xll.BDP("ISRG UW Equity","CHG_PCT_YTD_RT")</f>
        <v>59.728499999999997</v>
      </c>
    </row>
    <row r="257" spans="1:10" x14ac:dyDescent="0.25">
      <c r="A257" t="s">
        <v>264</v>
      </c>
      <c r="B257">
        <f>_xll.BDP("IT UN Equity","LAST_PRICE")</f>
        <v>514.44000000000005</v>
      </c>
      <c r="C257">
        <f>_xll.BDP("IT UN Equity","LAST_PRICE")</f>
        <v>514.44000000000005</v>
      </c>
      <c r="D257">
        <f>_xll.BDP("IT UN Equity","LAST_PRICE")</f>
        <v>514.44000000000005</v>
      </c>
      <c r="E257">
        <f>_xll.BDP("IT UN Equity","LAST_PRICE")</f>
        <v>514.44000000000005</v>
      </c>
      <c r="F257">
        <f>_xll.BDP("IT UN Equity","RT_PX_CHG_PCT_1D")</f>
        <v>-0.56629997491836548</v>
      </c>
      <c r="G257">
        <f>_xll.BDP("IT UN Equity","REALTIME_5_DAY_CHANGE_PERCENT")</f>
        <v>-0.49519999999999997</v>
      </c>
      <c r="H257">
        <f>_xll.BDP("IT UN Equity","CHG_PCT_1M_RT")</f>
        <v>-6.0212000000000003</v>
      </c>
      <c r="I257">
        <f>_xll.BDP("IT UN Equity","CHG_PCT_3M_RT")</f>
        <v>4.3849</v>
      </c>
      <c r="J257">
        <f>_xll.BDP("IT UN Equity","CHG_PCT_YTD_RT")</f>
        <v>14.0387</v>
      </c>
    </row>
    <row r="258" spans="1:10" x14ac:dyDescent="0.25">
      <c r="A258" t="s">
        <v>265</v>
      </c>
      <c r="B258">
        <f>_xll.BDP("ITW UN Equity","LAST_PRICE")</f>
        <v>274.07</v>
      </c>
      <c r="C258">
        <f>_xll.BDP("ITW UN Equity","LAST_PRICE")</f>
        <v>274.07</v>
      </c>
      <c r="D258">
        <f>_xll.BDP("ITW UN Equity","LAST_PRICE")</f>
        <v>274.07</v>
      </c>
      <c r="E258">
        <f>_xll.BDP("ITW UN Equity","LAST_PRICE")</f>
        <v>274.07</v>
      </c>
      <c r="F258">
        <f>_xll.BDP("ITW UN Equity","RT_PX_CHG_PCT_1D")</f>
        <v>0.19740000367164612</v>
      </c>
      <c r="G258">
        <f>_xll.BDP("ITW UN Equity","REALTIME_5_DAY_CHANGE_PERCENT")</f>
        <v>-1.5907</v>
      </c>
      <c r="H258">
        <f>_xll.BDP("ITW UN Equity","CHG_PCT_1M_RT")</f>
        <v>0.77959999999999996</v>
      </c>
      <c r="I258">
        <f>_xll.BDP("ITW UN Equity","CHG_PCT_3M_RT")</f>
        <v>11.0764</v>
      </c>
      <c r="J258">
        <f>_xll.BDP("ITW UN Equity","CHG_PCT_YTD_RT")</f>
        <v>4.6307999999999998</v>
      </c>
    </row>
    <row r="259" spans="1:10" x14ac:dyDescent="0.25">
      <c r="A259" t="s">
        <v>266</v>
      </c>
      <c r="B259">
        <f>_xll.BDP("IVZ UN Equity","LAST_PRICE")</f>
        <v>18.36</v>
      </c>
      <c r="C259">
        <f>_xll.BDP("IVZ UN Equity","LAST_PRICE")</f>
        <v>18.36</v>
      </c>
      <c r="D259">
        <f>_xll.BDP("IVZ UN Equity","LAST_PRICE")</f>
        <v>18.36</v>
      </c>
      <c r="E259">
        <f>_xll.BDP("IVZ UN Equity","LAST_PRICE")</f>
        <v>18.36</v>
      </c>
      <c r="F259">
        <f>_xll.BDP("IVZ UN Equity","RT_PX_CHG_PCT_1D")</f>
        <v>2.9725000858306885</v>
      </c>
      <c r="G259">
        <f>_xll.BDP("IVZ UN Equity","REALTIME_5_DAY_CHANGE_PERCENT")</f>
        <v>1.4924999999999999</v>
      </c>
      <c r="H259">
        <f>_xll.BDP("IVZ UN Equity","CHG_PCT_1M_RT")</f>
        <v>2.1135000000000002</v>
      </c>
      <c r="I259">
        <f>_xll.BDP("IVZ UN Equity","CHG_PCT_3M_RT")</f>
        <v>15.254200000000001</v>
      </c>
      <c r="J259">
        <f>_xll.BDP("IVZ UN Equity","CHG_PCT_YTD_RT")</f>
        <v>2.9148000000000001</v>
      </c>
    </row>
    <row r="260" spans="1:10" x14ac:dyDescent="0.25">
      <c r="A260" t="s">
        <v>267</v>
      </c>
      <c r="B260">
        <f>_xll.BDP("J UN Equity","LAST_PRICE")</f>
        <v>136.15</v>
      </c>
      <c r="C260">
        <f>_xll.BDP("J UN Equity","LAST_PRICE")</f>
        <v>136.15</v>
      </c>
      <c r="D260">
        <f>_xll.BDP("J UN Equity","LAST_PRICE")</f>
        <v>136.15</v>
      </c>
      <c r="E260">
        <f>_xll.BDP("J UN Equity","LAST_PRICE")</f>
        <v>136.15</v>
      </c>
      <c r="F260">
        <f>_xll.BDP("J UN Equity","RT_PX_CHG_PCT_1D")</f>
        <v>-1.2188999652862549</v>
      </c>
      <c r="G260">
        <f>_xll.BDP("J UN Equity","REALTIME_5_DAY_CHANGE_PERCENT")</f>
        <v>-2.6596000000000002</v>
      </c>
      <c r="H260">
        <f>_xll.BDP("J UN Equity","CHG_PCT_1M_RT")</f>
        <v>-7.0204000000000004</v>
      </c>
      <c r="I260">
        <f>_xll.BDP("J UN Equity","CHG_PCT_3M_RT")</f>
        <v>12.815300000000001</v>
      </c>
      <c r="J260">
        <f>_xll.BDP("J UN Equity","CHG_PCT_YTD_RT")</f>
        <v>25.626300000000001</v>
      </c>
    </row>
    <row r="261" spans="1:10" x14ac:dyDescent="0.25">
      <c r="A261" t="s">
        <v>268</v>
      </c>
      <c r="B261">
        <f>_xll.BDP("JBHT UW Equity","LAST_PRICE")</f>
        <v>182.38</v>
      </c>
      <c r="C261">
        <f>_xll.BDP("JBHT UW Equity","LAST_PRICE")</f>
        <v>182.38</v>
      </c>
      <c r="D261">
        <f>_xll.BDP("JBHT UW Equity","LAST_PRICE")</f>
        <v>182.38</v>
      </c>
      <c r="E261">
        <f>_xll.BDP("JBHT UW Equity","LAST_PRICE")</f>
        <v>182.38</v>
      </c>
      <c r="F261">
        <f>_xll.BDP("JBHT UW Equity","RT_PX_CHG_PCT_1D")</f>
        <v>0.76800000667572021</v>
      </c>
      <c r="G261">
        <f>_xll.BDP("JBHT UW Equity","REALTIME_5_DAY_CHANGE_PERCENT")</f>
        <v>-3.625</v>
      </c>
      <c r="H261">
        <f>_xll.BDP("JBHT UW Equity","CHG_PCT_1M_RT")</f>
        <v>-5.0747</v>
      </c>
      <c r="I261">
        <f>_xll.BDP("JBHT UW Equity","CHG_PCT_3M_RT")</f>
        <v>6.1954000000000002</v>
      </c>
      <c r="J261">
        <f>_xll.BDP("JBHT UW Equity","CHG_PCT_YTD_RT")</f>
        <v>-8.6913</v>
      </c>
    </row>
    <row r="262" spans="1:10" x14ac:dyDescent="0.25">
      <c r="A262" t="s">
        <v>269</v>
      </c>
      <c r="B262">
        <f>_xll.BDP("JBL UN Equity","LAST_PRICE")</f>
        <v>134.27000000000001</v>
      </c>
      <c r="C262">
        <f>_xll.BDP("JBL UN Equity","LAST_PRICE")</f>
        <v>134.27000000000001</v>
      </c>
      <c r="D262">
        <f>_xll.BDP("JBL UN Equity","LAST_PRICE")</f>
        <v>134.27000000000001</v>
      </c>
      <c r="E262">
        <f>_xll.BDP("JBL UN Equity","LAST_PRICE")</f>
        <v>134.27000000000001</v>
      </c>
      <c r="F262">
        <f>_xll.BDP("JBL UN Equity","RT_PX_CHG_PCT_1D")</f>
        <v>-1.0099999904632568</v>
      </c>
      <c r="G262">
        <f>_xll.BDP("JBL UN Equity","REALTIME_5_DAY_CHANGE_PERCENT")</f>
        <v>-0.68049999999999999</v>
      </c>
      <c r="H262">
        <f>_xll.BDP("JBL UN Equity","CHG_PCT_1M_RT")</f>
        <v>-1.0902000000000001</v>
      </c>
      <c r="I262">
        <f>_xll.BDP("JBL UN Equity","CHG_PCT_3M_RT")</f>
        <v>30.765499999999999</v>
      </c>
      <c r="J262">
        <f>_xll.BDP("JBL UN Equity","CHG_PCT_YTD_RT")</f>
        <v>5.3925000000000001</v>
      </c>
    </row>
    <row r="263" spans="1:10" x14ac:dyDescent="0.25">
      <c r="A263" t="s">
        <v>270</v>
      </c>
      <c r="B263">
        <f>_xll.BDP("JCI UN Equity","LAST_PRICE")</f>
        <v>83.92</v>
      </c>
      <c r="C263">
        <f>_xll.BDP("JCI UN Equity","LAST_PRICE")</f>
        <v>83.92</v>
      </c>
      <c r="D263">
        <f>_xll.BDP("JCI UN Equity","LAST_PRICE")</f>
        <v>83.92</v>
      </c>
      <c r="E263">
        <f>_xll.BDP("JCI UN Equity","LAST_PRICE")</f>
        <v>83.92</v>
      </c>
      <c r="F263">
        <f>_xll.BDP("JCI UN Equity","RT_PX_CHG_PCT_1D")</f>
        <v>-0.49799999594688416</v>
      </c>
      <c r="G263">
        <f>_xll.BDP("JCI UN Equity","REALTIME_5_DAY_CHANGE_PERCENT")</f>
        <v>0.29880000000000001</v>
      </c>
      <c r="H263">
        <f>_xll.BDP("JCI UN Equity","CHG_PCT_1M_RT")</f>
        <v>-0.82720000000000005</v>
      </c>
      <c r="I263">
        <f>_xll.BDP("JCI UN Equity","CHG_PCT_3M_RT")</f>
        <v>22.3324</v>
      </c>
      <c r="J263">
        <f>_xll.BDP("JCI UN Equity","CHG_PCT_YTD_RT")</f>
        <v>45.593299999999999</v>
      </c>
    </row>
    <row r="264" spans="1:10" x14ac:dyDescent="0.25">
      <c r="A264" t="s">
        <v>271</v>
      </c>
      <c r="B264">
        <f>_xll.BDP("JKHY UW Equity","LAST_PRICE")</f>
        <v>174.8</v>
      </c>
      <c r="C264">
        <f>_xll.BDP("JKHY UW Equity","LAST_PRICE")</f>
        <v>174.8</v>
      </c>
      <c r="D264">
        <f>_xll.BDP("JKHY UW Equity","LAST_PRICE")</f>
        <v>174.8</v>
      </c>
      <c r="E264">
        <f>_xll.BDP("JKHY UW Equity","LAST_PRICE")</f>
        <v>174.8</v>
      </c>
      <c r="F264">
        <f>_xll.BDP("JKHY UW Equity","RT_PX_CHG_PCT_1D")</f>
        <v>1.0346000194549561</v>
      </c>
      <c r="G264">
        <f>_xll.BDP("JKHY UW Equity","REALTIME_5_DAY_CHANGE_PERCENT")</f>
        <v>-0.48959999999999998</v>
      </c>
      <c r="H264">
        <f>_xll.BDP("JKHY UW Equity","CHG_PCT_1M_RT")</f>
        <v>-2.7646000000000002</v>
      </c>
      <c r="I264">
        <f>_xll.BDP("JKHY UW Equity","CHG_PCT_3M_RT")</f>
        <v>1.6870000000000001</v>
      </c>
      <c r="J264">
        <f>_xll.BDP("JKHY UW Equity","CHG_PCT_YTD_RT")</f>
        <v>6.9702000000000002</v>
      </c>
    </row>
    <row r="265" spans="1:10" x14ac:dyDescent="0.25">
      <c r="A265" t="s">
        <v>272</v>
      </c>
      <c r="B265">
        <f>_xll.BDP("JNJ UN Equity","LAST_PRICE")</f>
        <v>149.6</v>
      </c>
      <c r="C265">
        <f>_xll.BDP("JNJ UN Equity","LAST_PRICE")</f>
        <v>149.6</v>
      </c>
      <c r="D265">
        <f>_xll.BDP("JNJ UN Equity","LAST_PRICE")</f>
        <v>149.6</v>
      </c>
      <c r="E265">
        <f>_xll.BDP("JNJ UN Equity","LAST_PRICE")</f>
        <v>149.6</v>
      </c>
      <c r="F265">
        <f>_xll.BDP("JNJ UN Equity","RT_PX_CHG_PCT_1D")</f>
        <v>0.19419999420642853</v>
      </c>
      <c r="G265">
        <f>_xll.BDP("JNJ UN Equity","REALTIME_5_DAY_CHANGE_PERCENT")</f>
        <v>-3.3592</v>
      </c>
      <c r="H265">
        <f>_xll.BDP("JNJ UN Equity","CHG_PCT_1M_RT")</f>
        <v>-3.7755999999999998</v>
      </c>
      <c r="I265">
        <f>_xll.BDP("JNJ UN Equity","CHG_PCT_3M_RT")</f>
        <v>-10.2095</v>
      </c>
      <c r="J265">
        <f>_xll.BDP("JNJ UN Equity","CHG_PCT_YTD_RT")</f>
        <v>-4.5552999999999999</v>
      </c>
    </row>
    <row r="266" spans="1:10" x14ac:dyDescent="0.25">
      <c r="A266" t="s">
        <v>273</v>
      </c>
      <c r="B266">
        <f>_xll.BDP("JNPR UN Equity","LAST_PRICE")</f>
        <v>37.130000000000003</v>
      </c>
      <c r="C266">
        <f>_xll.BDP("JNPR UN Equity","LAST_PRICE")</f>
        <v>37.130000000000003</v>
      </c>
      <c r="D266">
        <f>_xll.BDP("JNPR UN Equity","LAST_PRICE")</f>
        <v>37.130000000000003</v>
      </c>
      <c r="E266">
        <f>_xll.BDP("JNPR UN Equity","LAST_PRICE")</f>
        <v>37.130000000000003</v>
      </c>
      <c r="F266">
        <f>_xll.BDP("JNPR UN Equity","RT_PX_CHG_PCT_1D")</f>
        <v>1.6703000068664551</v>
      </c>
      <c r="G266">
        <f>_xll.BDP("JNPR UN Equity","REALTIME_5_DAY_CHANGE_PERCENT")</f>
        <v>4.2392000000000003</v>
      </c>
      <c r="H266">
        <f>_xll.BDP("JNPR UN Equity","CHG_PCT_1M_RT")</f>
        <v>-4.5747</v>
      </c>
      <c r="I266">
        <f>_xll.BDP("JNPR UN Equity","CHG_PCT_3M_RT")</f>
        <v>-3.1560000000000001</v>
      </c>
      <c r="J266">
        <f>_xll.BDP("JNPR UN Equity","CHG_PCT_YTD_RT")</f>
        <v>25.9498</v>
      </c>
    </row>
    <row r="267" spans="1:10" x14ac:dyDescent="0.25">
      <c r="A267" t="s">
        <v>274</v>
      </c>
      <c r="B267">
        <f>_xll.BDP("JPM UN Equity","LAST_PRICE")</f>
        <v>243.81</v>
      </c>
      <c r="C267">
        <f>_xll.BDP("JPM UN Equity","LAST_PRICE")</f>
        <v>243.81</v>
      </c>
      <c r="D267">
        <f>_xll.BDP("JPM UN Equity","LAST_PRICE")</f>
        <v>243.81</v>
      </c>
      <c r="E267">
        <f>_xll.BDP("JPM UN Equity","LAST_PRICE")</f>
        <v>243.81</v>
      </c>
      <c r="F267">
        <f>_xll.BDP("JPM UN Equity","RT_PX_CHG_PCT_1D")</f>
        <v>-1.4351999759674072</v>
      </c>
      <c r="G267">
        <f>_xll.BDP("JPM UN Equity","REALTIME_5_DAY_CHANGE_PERCENT")</f>
        <v>-0.9909</v>
      </c>
      <c r="H267">
        <f>_xll.BDP("JPM UN Equity","CHG_PCT_1M_RT")</f>
        <v>2.8820999999999999</v>
      </c>
      <c r="I267">
        <f>_xll.BDP("JPM UN Equity","CHG_PCT_3M_RT")</f>
        <v>12.4533</v>
      </c>
      <c r="J267">
        <f>_xll.BDP("JPM UN Equity","CHG_PCT_YTD_RT")</f>
        <v>43.333300000000001</v>
      </c>
    </row>
    <row r="268" spans="1:10" x14ac:dyDescent="0.25">
      <c r="A268" t="s">
        <v>275</v>
      </c>
      <c r="B268">
        <f>_xll.BDP("K UN Equity","LAST_PRICE")</f>
        <v>80.58</v>
      </c>
      <c r="C268">
        <f>_xll.BDP("K UN Equity","LAST_PRICE")</f>
        <v>80.58</v>
      </c>
      <c r="D268">
        <f>_xll.BDP("K UN Equity","LAST_PRICE")</f>
        <v>80.58</v>
      </c>
      <c r="E268">
        <f>_xll.BDP("K UN Equity","LAST_PRICE")</f>
        <v>80.58</v>
      </c>
      <c r="F268">
        <f>_xll.BDP("K UN Equity","RT_PX_CHG_PCT_1D")</f>
        <v>-0.19820000231266022</v>
      </c>
      <c r="G268">
        <f>_xll.BDP("K UN Equity","REALTIME_5_DAY_CHANGE_PERCENT")</f>
        <v>-0.1487</v>
      </c>
      <c r="H268">
        <f>_xll.BDP("K UN Equity","CHG_PCT_1M_RT")</f>
        <v>-0.51849999999999996</v>
      </c>
      <c r="I268">
        <f>_xll.BDP("K UN Equity","CHG_PCT_3M_RT")</f>
        <v>0.51139999999999997</v>
      </c>
      <c r="J268">
        <f>_xll.BDP("K UN Equity","CHG_PCT_YTD_RT")</f>
        <v>44.124499999999998</v>
      </c>
    </row>
    <row r="269" spans="1:10" x14ac:dyDescent="0.25">
      <c r="A269" t="s">
        <v>276</v>
      </c>
      <c r="B269">
        <f>_xll.BDP("KDP UW Equity","LAST_PRICE")</f>
        <v>33.6</v>
      </c>
      <c r="C269">
        <f>_xll.BDP("KDP UW Equity","LAST_PRICE")</f>
        <v>33.6</v>
      </c>
      <c r="D269">
        <f>_xll.BDP("KDP UW Equity","LAST_PRICE")</f>
        <v>33.6</v>
      </c>
      <c r="E269">
        <f>_xll.BDP("KDP UW Equity","LAST_PRICE")</f>
        <v>33.6</v>
      </c>
      <c r="F269">
        <f>_xll.BDP("KDP UW Equity","RT_PX_CHG_PCT_1D")</f>
        <v>2.689500093460083</v>
      </c>
      <c r="G269">
        <f>_xll.BDP("KDP UW Equity","REALTIME_5_DAY_CHANGE_PERCENT")</f>
        <v>3.2574999999999998</v>
      </c>
      <c r="H269">
        <f>_xll.BDP("KDP UW Equity","CHG_PCT_1M_RT")</f>
        <v>2.1898</v>
      </c>
      <c r="I269">
        <f>_xll.BDP("KDP UW Equity","CHG_PCT_3M_RT")</f>
        <v>-9.8470999999999993</v>
      </c>
      <c r="J269">
        <f>_xll.BDP("KDP UW Equity","CHG_PCT_YTD_RT")</f>
        <v>0.84030000000000005</v>
      </c>
    </row>
    <row r="270" spans="1:10" x14ac:dyDescent="0.25">
      <c r="A270" t="s">
        <v>277</v>
      </c>
      <c r="B270">
        <f>_xll.BDP("KEY UN Equity","LAST_PRICE")</f>
        <v>18.54</v>
      </c>
      <c r="C270">
        <f>_xll.BDP("KEY UN Equity","LAST_PRICE")</f>
        <v>18.54</v>
      </c>
      <c r="D270">
        <f>_xll.BDP("KEY UN Equity","LAST_PRICE")</f>
        <v>18.54</v>
      </c>
      <c r="E270">
        <f>_xll.BDP("KEY UN Equity","LAST_PRICE")</f>
        <v>18.54</v>
      </c>
      <c r="F270">
        <f>_xll.BDP("KEY UN Equity","RT_PX_CHG_PCT_1D")</f>
        <v>-1.7488000392913818</v>
      </c>
      <c r="G270">
        <f>_xll.BDP("KEY UN Equity","REALTIME_5_DAY_CHANGE_PERCENT")</f>
        <v>-2.9826999999999999</v>
      </c>
      <c r="H270">
        <f>_xll.BDP("KEY UN Equity","CHG_PCT_1M_RT")</f>
        <v>-2.2667000000000002</v>
      </c>
      <c r="I270">
        <f>_xll.BDP("KEY UN Equity","CHG_PCT_3M_RT")</f>
        <v>14.585900000000001</v>
      </c>
      <c r="J270">
        <f>_xll.BDP("KEY UN Equity","CHG_PCT_YTD_RT")</f>
        <v>28.75</v>
      </c>
    </row>
    <row r="271" spans="1:10" x14ac:dyDescent="0.25">
      <c r="A271" t="s">
        <v>278</v>
      </c>
      <c r="B271">
        <f>_xll.BDP("KEYS UN Equity","LAST_PRICE")</f>
        <v>172.53</v>
      </c>
      <c r="C271">
        <f>_xll.BDP("KEYS UN Equity","LAST_PRICE")</f>
        <v>172.53</v>
      </c>
      <c r="D271">
        <f>_xll.BDP("KEYS UN Equity","LAST_PRICE")</f>
        <v>172.53</v>
      </c>
      <c r="E271">
        <f>_xll.BDP("KEYS UN Equity","LAST_PRICE")</f>
        <v>172.53</v>
      </c>
      <c r="F271">
        <f>_xll.BDP("KEYS UN Equity","RT_PX_CHG_PCT_1D")</f>
        <v>0.46579998731613159</v>
      </c>
      <c r="G271">
        <f>_xll.BDP("KEYS UN Equity","REALTIME_5_DAY_CHANGE_PERCENT")</f>
        <v>0.54779999999999995</v>
      </c>
      <c r="H271">
        <f>_xll.BDP("KEYS UN Equity","CHG_PCT_1M_RT")</f>
        <v>4.2981999999999996</v>
      </c>
      <c r="I271">
        <f>_xll.BDP("KEYS UN Equity","CHG_PCT_3M_RT")</f>
        <v>18.3171</v>
      </c>
      <c r="J271">
        <f>_xll.BDP("KEYS UN Equity","CHG_PCT_YTD_RT")</f>
        <v>8.4480000000000004</v>
      </c>
    </row>
    <row r="272" spans="1:10" x14ac:dyDescent="0.25">
      <c r="A272" t="s">
        <v>279</v>
      </c>
      <c r="B272">
        <f>_xll.BDP("KHC UW Equity","LAST_PRICE")</f>
        <v>31.72</v>
      </c>
      <c r="C272">
        <f>_xll.BDP("KHC UW Equity","LAST_PRICE")</f>
        <v>31.72</v>
      </c>
      <c r="D272">
        <f>_xll.BDP("KHC UW Equity","LAST_PRICE")</f>
        <v>31.72</v>
      </c>
      <c r="E272">
        <f>_xll.BDP("KHC UW Equity","LAST_PRICE")</f>
        <v>31.72</v>
      </c>
      <c r="F272">
        <f>_xll.BDP("KHC UW Equity","RT_PX_CHG_PCT_1D")</f>
        <v>2.9535999298095703</v>
      </c>
      <c r="G272">
        <f>_xll.BDP("KHC UW Equity","REALTIME_5_DAY_CHANGE_PERCENT")</f>
        <v>0.34799999999999998</v>
      </c>
      <c r="H272">
        <f>_xll.BDP("KHC UW Equity","CHG_PCT_1M_RT")</f>
        <v>-3.8788</v>
      </c>
      <c r="I272">
        <f>_xll.BDP("KHC UW Equity","CHG_PCT_3M_RT")</f>
        <v>-12.011100000000001</v>
      </c>
      <c r="J272">
        <f>_xll.BDP("KHC UW Equity","CHG_PCT_YTD_RT")</f>
        <v>-14.2239</v>
      </c>
    </row>
    <row r="273" spans="1:10" x14ac:dyDescent="0.25">
      <c r="A273" t="s">
        <v>280</v>
      </c>
      <c r="B273">
        <f>_xll.BDP("KIM UN Equity","LAST_PRICE")</f>
        <v>25.04</v>
      </c>
      <c r="C273">
        <f>_xll.BDP("KIM UN Equity","LAST_PRICE")</f>
        <v>25.04</v>
      </c>
      <c r="D273">
        <f>_xll.BDP("KIM UN Equity","LAST_PRICE")</f>
        <v>25.04</v>
      </c>
      <c r="E273">
        <f>_xll.BDP("KIM UN Equity","LAST_PRICE")</f>
        <v>25.04</v>
      </c>
      <c r="F273">
        <f>_xll.BDP("KIM UN Equity","RT_PX_CHG_PCT_1D")</f>
        <v>-0.59549999237060547</v>
      </c>
      <c r="G273">
        <f>_xll.BDP("KIM UN Equity","REALTIME_5_DAY_CHANGE_PERCENT")</f>
        <v>-0.7137</v>
      </c>
      <c r="H273">
        <f>_xll.BDP("KIM UN Equity","CHG_PCT_1M_RT")</f>
        <v>0.44119999999999998</v>
      </c>
      <c r="I273">
        <f>_xll.BDP("KIM UN Equity","CHG_PCT_3M_RT")</f>
        <v>7.5140000000000002</v>
      </c>
      <c r="J273">
        <f>_xll.BDP("KIM UN Equity","CHG_PCT_YTD_RT")</f>
        <v>17.503499999999999</v>
      </c>
    </row>
    <row r="274" spans="1:10" x14ac:dyDescent="0.25">
      <c r="A274" t="s">
        <v>281</v>
      </c>
      <c r="B274">
        <f>_xll.BDP("KKR UN Equity","LAST_PRICE")</f>
        <v>152.35</v>
      </c>
      <c r="C274">
        <f>_xll.BDP("KKR UN Equity","LAST_PRICE")</f>
        <v>152.35</v>
      </c>
      <c r="D274">
        <f>_xll.BDP("KKR UN Equity","LAST_PRICE")</f>
        <v>152.35</v>
      </c>
      <c r="E274">
        <f>_xll.BDP("KKR UN Equity","LAST_PRICE")</f>
        <v>152.35</v>
      </c>
      <c r="F274">
        <f>_xll.BDP("KKR UN Equity","RT_PX_CHG_PCT_1D")</f>
        <v>-3.5820999145507813</v>
      </c>
      <c r="G274">
        <f>_xll.BDP("KKR UN Equity","REALTIME_5_DAY_CHANGE_PERCENT")</f>
        <v>-4.5724999999999998</v>
      </c>
      <c r="H274">
        <f>_xll.BDP("KKR UN Equity","CHG_PCT_1M_RT")</f>
        <v>9.8599999999999993E-2</v>
      </c>
      <c r="I274">
        <f>_xll.BDP("KKR UN Equity","CHG_PCT_3M_RT")</f>
        <v>28.608799999999999</v>
      </c>
      <c r="J274">
        <f>_xll.BDP("KKR UN Equity","CHG_PCT_YTD_RT")</f>
        <v>83.886499999999998</v>
      </c>
    </row>
    <row r="275" spans="1:10" x14ac:dyDescent="0.25">
      <c r="A275" t="s">
        <v>282</v>
      </c>
      <c r="B275">
        <f>_xll.BDP("KLAC UW Equity","LAST_PRICE")</f>
        <v>652.37</v>
      </c>
      <c r="C275">
        <f>_xll.BDP("KLAC UW Equity","LAST_PRICE")</f>
        <v>652.37</v>
      </c>
      <c r="D275">
        <f>_xll.BDP("KLAC UW Equity","LAST_PRICE")</f>
        <v>652.37</v>
      </c>
      <c r="E275">
        <f>_xll.BDP("KLAC UW Equity","LAST_PRICE")</f>
        <v>652.37</v>
      </c>
      <c r="F275">
        <f>_xll.BDP("KLAC UW Equity","RT_PX_CHG_PCT_1D")</f>
        <v>0.62159997224807739</v>
      </c>
      <c r="G275">
        <f>_xll.BDP("KLAC UW Equity","REALTIME_5_DAY_CHANGE_PERCENT")</f>
        <v>-2.0510000000000002</v>
      </c>
      <c r="H275">
        <f>_xll.BDP("KLAC UW Equity","CHG_PCT_1M_RT")</f>
        <v>-5.0974000000000004</v>
      </c>
      <c r="I275">
        <f>_xll.BDP("KLAC UW Equity","CHG_PCT_3M_RT")</f>
        <v>-8.1027000000000005</v>
      </c>
      <c r="J275">
        <f>_xll.BDP("KLAC UW Equity","CHG_PCT_YTD_RT")</f>
        <v>12.226000000000001</v>
      </c>
    </row>
    <row r="276" spans="1:10" x14ac:dyDescent="0.25">
      <c r="A276" t="s">
        <v>283</v>
      </c>
      <c r="B276">
        <f>_xll.BDP("KMB UN Equity","LAST_PRICE")</f>
        <v>132.94999999999999</v>
      </c>
      <c r="C276">
        <f>_xll.BDP("KMB UN Equity","LAST_PRICE")</f>
        <v>132.94999999999999</v>
      </c>
      <c r="D276">
        <f>_xll.BDP("KMB UN Equity","LAST_PRICE")</f>
        <v>132.94999999999999</v>
      </c>
      <c r="E276">
        <f>_xll.BDP("KMB UN Equity","LAST_PRICE")</f>
        <v>132.94999999999999</v>
      </c>
      <c r="F276">
        <f>_xll.BDP("KMB UN Equity","RT_PX_CHG_PCT_1D")</f>
        <v>-1.3212000131607056</v>
      </c>
      <c r="G276">
        <f>_xll.BDP("KMB UN Equity","REALTIME_5_DAY_CHANGE_PERCENT")</f>
        <v>-4.7363</v>
      </c>
      <c r="H276">
        <f>_xll.BDP("KMB UN Equity","CHG_PCT_1M_RT")</f>
        <v>-0.49399999999999999</v>
      </c>
      <c r="I276">
        <f>_xll.BDP("KMB UN Equity","CHG_PCT_3M_RT")</f>
        <v>-9.6684000000000001</v>
      </c>
      <c r="J276">
        <f>_xll.BDP("KMB UN Equity","CHG_PCT_YTD_RT")</f>
        <v>9.4148999999999994</v>
      </c>
    </row>
    <row r="277" spans="1:10" x14ac:dyDescent="0.25">
      <c r="A277" t="s">
        <v>284</v>
      </c>
      <c r="B277">
        <f>_xll.BDP("KMI UN Equity","LAST_PRICE")</f>
        <v>27.1</v>
      </c>
      <c r="C277">
        <f>_xll.BDP("KMI UN Equity","LAST_PRICE")</f>
        <v>27.1</v>
      </c>
      <c r="D277">
        <f>_xll.BDP("KMI UN Equity","LAST_PRICE")</f>
        <v>27.1</v>
      </c>
      <c r="E277">
        <f>_xll.BDP("KMI UN Equity","LAST_PRICE")</f>
        <v>27.1</v>
      </c>
      <c r="F277">
        <f>_xll.BDP("KMI UN Equity","RT_PX_CHG_PCT_1D")</f>
        <v>-2.4126999378204346</v>
      </c>
      <c r="G277">
        <f>_xll.BDP("KMI UN Equity","REALTIME_5_DAY_CHANGE_PERCENT")</f>
        <v>-1.2391000000000001</v>
      </c>
      <c r="H277">
        <f>_xll.BDP("KMI UN Equity","CHG_PCT_1M_RT")</f>
        <v>0.81850000000000001</v>
      </c>
      <c r="I277">
        <f>_xll.BDP("KMI UN Equity","CHG_PCT_3M_RT")</f>
        <v>28.314399999999999</v>
      </c>
      <c r="J277">
        <f>_xll.BDP("KMI UN Equity","CHG_PCT_YTD_RT")</f>
        <v>53.628100000000003</v>
      </c>
    </row>
    <row r="278" spans="1:10" x14ac:dyDescent="0.25">
      <c r="A278" t="s">
        <v>285</v>
      </c>
      <c r="B278">
        <f>_xll.BDP("KMX UN Equity","LAST_PRICE")</f>
        <v>87.2</v>
      </c>
      <c r="C278">
        <f>_xll.BDP("KMX UN Equity","LAST_PRICE")</f>
        <v>87.2</v>
      </c>
      <c r="D278">
        <f>_xll.BDP("KMX UN Equity","LAST_PRICE")</f>
        <v>87.2</v>
      </c>
      <c r="E278">
        <f>_xll.BDP("KMX UN Equity","LAST_PRICE")</f>
        <v>87.2</v>
      </c>
      <c r="F278">
        <f>_xll.BDP("KMX UN Equity","RT_PX_CHG_PCT_1D")</f>
        <v>1.1248999834060669</v>
      </c>
      <c r="G278">
        <f>_xll.BDP("KMX UN Equity","REALTIME_5_DAY_CHANGE_PERCENT")</f>
        <v>4.8329000000000004</v>
      </c>
      <c r="H278">
        <f>_xll.BDP("KMX UN Equity","CHG_PCT_1M_RT")</f>
        <v>15.435499999999999</v>
      </c>
      <c r="I278">
        <f>_xll.BDP("KMX UN Equity","CHG_PCT_3M_RT")</f>
        <v>8.1483000000000008</v>
      </c>
      <c r="J278">
        <f>_xll.BDP("KMX UN Equity","CHG_PCT_YTD_RT")</f>
        <v>13.6304</v>
      </c>
    </row>
    <row r="279" spans="1:10" x14ac:dyDescent="0.25">
      <c r="A279" t="s">
        <v>286</v>
      </c>
      <c r="B279">
        <f>_xll.BDP("KO UN Equity","LAST_PRICE")</f>
        <v>62.6</v>
      </c>
      <c r="C279">
        <f>_xll.BDP("KO UN Equity","LAST_PRICE")</f>
        <v>62.6</v>
      </c>
      <c r="D279">
        <f>_xll.BDP("KO UN Equity","LAST_PRICE")</f>
        <v>62.6</v>
      </c>
      <c r="E279">
        <f>_xll.BDP("KO UN Equity","LAST_PRICE")</f>
        <v>62.6</v>
      </c>
      <c r="F279">
        <f>_xll.BDP("KO UN Equity","RT_PX_CHG_PCT_1D")</f>
        <v>0.11190000176429749</v>
      </c>
      <c r="G279">
        <f>_xll.BDP("KO UN Equity","REALTIME_5_DAY_CHANGE_PERCENT")</f>
        <v>-1.6496</v>
      </c>
      <c r="H279">
        <f>_xll.BDP("KO UN Equity","CHG_PCT_1M_RT")</f>
        <v>-2.0651000000000002</v>
      </c>
      <c r="I279">
        <f>_xll.BDP("KO UN Equity","CHG_PCT_3M_RT")</f>
        <v>-12.874000000000001</v>
      </c>
      <c r="J279">
        <f>_xll.BDP("KO UN Equity","CHG_PCT_YTD_RT")</f>
        <v>6.2276999999999996</v>
      </c>
    </row>
    <row r="280" spans="1:10" x14ac:dyDescent="0.25">
      <c r="A280" t="s">
        <v>287</v>
      </c>
      <c r="B280">
        <f>_xll.BDP("KR UN Equity","LAST_PRICE")</f>
        <v>57.77</v>
      </c>
      <c r="C280">
        <f>_xll.BDP("KR UN Equity","LAST_PRICE")</f>
        <v>57.77</v>
      </c>
      <c r="D280">
        <f>_xll.BDP("KR UN Equity","LAST_PRICE")</f>
        <v>57.77</v>
      </c>
      <c r="E280">
        <f>_xll.BDP("KR UN Equity","LAST_PRICE")</f>
        <v>57.77</v>
      </c>
      <c r="F280">
        <f>_xll.BDP("KR UN Equity","RT_PX_CHG_PCT_1D")</f>
        <v>-2.4649999141693115</v>
      </c>
      <c r="G280">
        <f>_xll.BDP("KR UN Equity","REALTIME_5_DAY_CHANGE_PERCENT")</f>
        <v>-3.9567999999999999</v>
      </c>
      <c r="H280">
        <f>_xll.BDP("KR UN Equity","CHG_PCT_1M_RT")</f>
        <v>-3.5720000000000001</v>
      </c>
      <c r="I280">
        <f>_xll.BDP("KR UN Equity","CHG_PCT_3M_RT")</f>
        <v>11.160299999999999</v>
      </c>
      <c r="J280">
        <f>_xll.BDP("KR UN Equity","CHG_PCT_YTD_RT")</f>
        <v>26.383700000000001</v>
      </c>
    </row>
    <row r="281" spans="1:10" x14ac:dyDescent="0.25">
      <c r="A281" t="s">
        <v>288</v>
      </c>
      <c r="B281">
        <f>_xll.BDP("KVUE UN Equity","LAST_PRICE")</f>
        <v>22.81</v>
      </c>
      <c r="C281">
        <f>_xll.BDP("KVUE UN Equity","LAST_PRICE")</f>
        <v>22.81</v>
      </c>
      <c r="D281">
        <f>_xll.BDP("KVUE UN Equity","LAST_PRICE")</f>
        <v>22.81</v>
      </c>
      <c r="E281">
        <f>_xll.BDP("KVUE UN Equity","LAST_PRICE")</f>
        <v>22.81</v>
      </c>
      <c r="F281">
        <f>_xll.BDP("KVUE UN Equity","RT_PX_CHG_PCT_1D")</f>
        <v>-0.13130000233650208</v>
      </c>
      <c r="G281">
        <f>_xll.BDP("KVUE UN Equity","REALTIME_5_DAY_CHANGE_PERCENT")</f>
        <v>-5.9768999999999997</v>
      </c>
      <c r="H281">
        <f>_xll.BDP("KVUE UN Equity","CHG_PCT_1M_RT")</f>
        <v>-3.6739999999999999</v>
      </c>
      <c r="I281">
        <f>_xll.BDP("KVUE UN Equity","CHG_PCT_3M_RT")</f>
        <v>-1.681</v>
      </c>
      <c r="J281">
        <f>_xll.BDP("KVUE UN Equity","CHG_PCT_YTD_RT")</f>
        <v>5.9451999999999998</v>
      </c>
    </row>
    <row r="282" spans="1:10" x14ac:dyDescent="0.25">
      <c r="A282" t="s">
        <v>289</v>
      </c>
      <c r="B282">
        <f>_xll.BDP("L UN Equity","LAST_PRICE")</f>
        <v>85</v>
      </c>
      <c r="C282">
        <f>_xll.BDP("L UN Equity","LAST_PRICE")</f>
        <v>85</v>
      </c>
      <c r="D282">
        <f>_xll.BDP("L UN Equity","LAST_PRICE")</f>
        <v>85</v>
      </c>
      <c r="E282">
        <f>_xll.BDP("L UN Equity","LAST_PRICE")</f>
        <v>85</v>
      </c>
      <c r="F282">
        <f>_xll.BDP("L UN Equity","RT_PX_CHG_PCT_1D")</f>
        <v>-1.2546000480651855</v>
      </c>
      <c r="G282">
        <f>_xll.BDP("L UN Equity","REALTIME_5_DAY_CHANGE_PERCENT")</f>
        <v>-1.3463000000000001</v>
      </c>
      <c r="H282">
        <f>_xll.BDP("L UN Equity","CHG_PCT_1M_RT")</f>
        <v>2.2740999999999998</v>
      </c>
      <c r="I282">
        <f>_xll.BDP("L UN Equity","CHG_PCT_3M_RT")</f>
        <v>5.6162999999999998</v>
      </c>
      <c r="J282">
        <f>_xll.BDP("L UN Equity","CHG_PCT_YTD_RT")</f>
        <v>22.143999999999998</v>
      </c>
    </row>
    <row r="283" spans="1:10" x14ac:dyDescent="0.25">
      <c r="A283" t="s">
        <v>290</v>
      </c>
      <c r="B283">
        <f>_xll.BDP("LDOS UN Equity","LAST_PRICE")</f>
        <v>160.31</v>
      </c>
      <c r="C283">
        <f>_xll.BDP("LDOS UN Equity","LAST_PRICE")</f>
        <v>160.31</v>
      </c>
      <c r="D283">
        <f>_xll.BDP("LDOS UN Equity","LAST_PRICE")</f>
        <v>160.31</v>
      </c>
      <c r="E283">
        <f>_xll.BDP("LDOS UN Equity","LAST_PRICE")</f>
        <v>160.31</v>
      </c>
      <c r="F283">
        <f>_xll.BDP("LDOS UN Equity","RT_PX_CHG_PCT_1D")</f>
        <v>-1.7407000064849854</v>
      </c>
      <c r="G283">
        <f>_xll.BDP("LDOS UN Equity","REALTIME_5_DAY_CHANGE_PERCENT")</f>
        <v>-2.3273999999999999</v>
      </c>
      <c r="H283">
        <f>_xll.BDP("LDOS UN Equity","CHG_PCT_1M_RT")</f>
        <v>-19.206700000000001</v>
      </c>
      <c r="I283">
        <f>_xll.BDP("LDOS UN Equity","CHG_PCT_3M_RT")</f>
        <v>4.4637000000000002</v>
      </c>
      <c r="J283">
        <f>_xll.BDP("LDOS UN Equity","CHG_PCT_YTD_RT")</f>
        <v>48.106099999999998</v>
      </c>
    </row>
    <row r="284" spans="1:10" x14ac:dyDescent="0.25">
      <c r="A284" t="s">
        <v>291</v>
      </c>
      <c r="B284">
        <f>_xll.BDP("LEN UN Equity","LAST_PRICE")</f>
        <v>166.01</v>
      </c>
      <c r="C284">
        <f>_xll.BDP("LEN UN Equity","LAST_PRICE")</f>
        <v>166.01</v>
      </c>
      <c r="D284">
        <f>_xll.BDP("LEN UN Equity","LAST_PRICE")</f>
        <v>166.01</v>
      </c>
      <c r="E284">
        <f>_xll.BDP("LEN UN Equity","LAST_PRICE")</f>
        <v>166.01</v>
      </c>
      <c r="F284">
        <f>_xll.BDP("LEN UN Equity","RT_PX_CHG_PCT_1D")</f>
        <v>1.5662000179290771</v>
      </c>
      <c r="G284">
        <f>_xll.BDP("LEN UN Equity","REALTIME_5_DAY_CHANGE_PERCENT")</f>
        <v>-4.3005000000000004</v>
      </c>
      <c r="H284">
        <f>_xll.BDP("LEN UN Equity","CHG_PCT_1M_RT")</f>
        <v>-3.8069000000000002</v>
      </c>
      <c r="I284">
        <f>_xll.BDP("LEN UN Equity","CHG_PCT_3M_RT")</f>
        <v>-7.8746</v>
      </c>
      <c r="J284">
        <f>_xll.BDP("LEN UN Equity","CHG_PCT_YTD_RT")</f>
        <v>11.386200000000001</v>
      </c>
    </row>
    <row r="285" spans="1:10" x14ac:dyDescent="0.25">
      <c r="A285" t="s">
        <v>292</v>
      </c>
      <c r="B285">
        <f>_xll.BDP("LH UN Equity","LAST_PRICE")</f>
        <v>236</v>
      </c>
      <c r="C285">
        <f>_xll.BDP("LH UN Equity","LAST_PRICE")</f>
        <v>236</v>
      </c>
      <c r="D285">
        <f>_xll.BDP("LH UN Equity","LAST_PRICE")</f>
        <v>236</v>
      </c>
      <c r="E285">
        <f>_xll.BDP("LH UN Equity","LAST_PRICE")</f>
        <v>236</v>
      </c>
      <c r="F285">
        <f>_xll.BDP("LH UN Equity","RT_PX_CHG_PCT_1D")</f>
        <v>1.4747999906539917</v>
      </c>
      <c r="G285">
        <f>_xll.BDP("LH UN Equity","REALTIME_5_DAY_CHANGE_PERCENT")</f>
        <v>-1.9240999999999999</v>
      </c>
      <c r="H285">
        <f>_xll.BDP("LH UN Equity","CHG_PCT_1M_RT")</f>
        <v>-2.6362000000000001</v>
      </c>
      <c r="I285">
        <f>_xll.BDP("LH UN Equity","CHG_PCT_3M_RT")</f>
        <v>4.0060000000000002</v>
      </c>
      <c r="J285">
        <f>_xll.BDP("LH UN Equity","CHG_PCT_YTD_RT")</f>
        <v>3.8321000000000001</v>
      </c>
    </row>
    <row r="286" spans="1:10" x14ac:dyDescent="0.25">
      <c r="A286" t="s">
        <v>293</v>
      </c>
      <c r="B286">
        <f>_xll.BDP("LHX UN Equity","LAST_PRICE")</f>
        <v>229.76</v>
      </c>
      <c r="C286">
        <f>_xll.BDP("LHX UN Equity","LAST_PRICE")</f>
        <v>229.76</v>
      </c>
      <c r="D286">
        <f>_xll.BDP("LHX UN Equity","LAST_PRICE")</f>
        <v>229.76</v>
      </c>
      <c r="E286">
        <f>_xll.BDP("LHX UN Equity","LAST_PRICE")</f>
        <v>229.76</v>
      </c>
      <c r="F286">
        <f>_xll.BDP("LHX UN Equity","RT_PX_CHG_PCT_1D")</f>
        <v>-2.0797998905181885</v>
      </c>
      <c r="G286">
        <f>_xll.BDP("LHX UN Equity","REALTIME_5_DAY_CHANGE_PERCENT")</f>
        <v>-5.3784999999999998</v>
      </c>
      <c r="H286">
        <f>_xll.BDP("LHX UN Equity","CHG_PCT_1M_RT")</f>
        <v>-11.834199999999999</v>
      </c>
      <c r="I286">
        <f>_xll.BDP("LHX UN Equity","CHG_PCT_3M_RT")</f>
        <v>0.2137</v>
      </c>
      <c r="J286">
        <f>_xll.BDP("LHX UN Equity","CHG_PCT_YTD_RT")</f>
        <v>9.0875000000000004</v>
      </c>
    </row>
    <row r="287" spans="1:10" x14ac:dyDescent="0.25">
      <c r="A287" t="s">
        <v>294</v>
      </c>
      <c r="B287">
        <f>_xll.BDP("LIN UW Equity","LAST_PRICE")</f>
        <v>442.58</v>
      </c>
      <c r="C287">
        <f>_xll.BDP("LIN UW Equity","LAST_PRICE")</f>
        <v>442.58</v>
      </c>
      <c r="D287">
        <f>_xll.BDP("LIN UW Equity","LAST_PRICE")</f>
        <v>442.58</v>
      </c>
      <c r="E287">
        <f>_xll.BDP("LIN UW Equity","LAST_PRICE")</f>
        <v>442.58</v>
      </c>
      <c r="F287">
        <f>_xll.BDP("LIN UW Equity","RT_PX_CHG_PCT_1D")</f>
        <v>-1.5262999534606934</v>
      </c>
      <c r="G287">
        <f>_xll.BDP("LIN UW Equity","REALTIME_5_DAY_CHANGE_PERCENT")</f>
        <v>-3.7221000000000002</v>
      </c>
      <c r="H287">
        <f>_xll.BDP("LIN UW Equity","CHG_PCT_1M_RT")</f>
        <v>-3.6781000000000001</v>
      </c>
      <c r="I287">
        <f>_xll.BDP("LIN UW Equity","CHG_PCT_3M_RT")</f>
        <v>-4.4268999999999998</v>
      </c>
      <c r="J287">
        <f>_xll.BDP("LIN UW Equity","CHG_PCT_YTD_RT")</f>
        <v>7.7596999999999996</v>
      </c>
    </row>
    <row r="288" spans="1:10" x14ac:dyDescent="0.25">
      <c r="A288" t="s">
        <v>295</v>
      </c>
      <c r="B288">
        <f>_xll.BDP("LKQ UW Equity","LAST_PRICE")</f>
        <v>39.409999999999997</v>
      </c>
      <c r="C288">
        <f>_xll.BDP("LKQ UW Equity","LAST_PRICE")</f>
        <v>39.409999999999997</v>
      </c>
      <c r="D288">
        <f>_xll.BDP("LKQ UW Equity","LAST_PRICE")</f>
        <v>39.409999999999997</v>
      </c>
      <c r="E288">
        <f>_xll.BDP("LKQ UW Equity","LAST_PRICE")</f>
        <v>39.409999999999997</v>
      </c>
      <c r="F288">
        <f>_xll.BDP("LKQ UW Equity","RT_PX_CHG_PCT_1D")</f>
        <v>1.3371000289916992</v>
      </c>
      <c r="G288">
        <f>_xll.BDP("LKQ UW Equity","REALTIME_5_DAY_CHANGE_PERCENT")</f>
        <v>0.33100000000000002</v>
      </c>
      <c r="H288">
        <f>_xll.BDP("LKQ UW Equity","CHG_PCT_1M_RT")</f>
        <v>2.7105000000000001</v>
      </c>
      <c r="I288">
        <f>_xll.BDP("LKQ UW Equity","CHG_PCT_3M_RT")</f>
        <v>-1.4257</v>
      </c>
      <c r="J288">
        <f>_xll.BDP("LKQ UW Equity","CHG_PCT_YTD_RT")</f>
        <v>-17.535</v>
      </c>
    </row>
    <row r="289" spans="1:10" x14ac:dyDescent="0.25">
      <c r="A289" t="s">
        <v>296</v>
      </c>
      <c r="B289">
        <f>_xll.BDP("LLY UN Equity","LAST_PRICE")</f>
        <v>803.58</v>
      </c>
      <c r="C289">
        <f>_xll.BDP("LLY UN Equity","LAST_PRICE")</f>
        <v>803.58</v>
      </c>
      <c r="D289">
        <f>_xll.BDP("LLY UN Equity","LAST_PRICE")</f>
        <v>803.58</v>
      </c>
      <c r="E289">
        <f>_xll.BDP("LLY UN Equity","LAST_PRICE")</f>
        <v>803.58</v>
      </c>
      <c r="F289">
        <f>_xll.BDP("LLY UN Equity","RT_PX_CHG_PCT_1D")</f>
        <v>-2.7978000640869141</v>
      </c>
      <c r="G289">
        <f>_xll.BDP("LLY UN Equity","REALTIME_5_DAY_CHANGE_PERCENT")</f>
        <v>0.47260000000000002</v>
      </c>
      <c r="H289">
        <f>_xll.BDP("LLY UN Equity","CHG_PCT_1M_RT")</f>
        <v>-3.3624000000000001</v>
      </c>
      <c r="I289">
        <f>_xll.BDP("LLY UN Equity","CHG_PCT_3M_RT")</f>
        <v>-11.526300000000001</v>
      </c>
      <c r="J289">
        <f>_xll.BDP("LLY UN Equity","CHG_PCT_YTD_RT")</f>
        <v>37.854300000000002</v>
      </c>
    </row>
    <row r="290" spans="1:10" x14ac:dyDescent="0.25">
      <c r="A290" t="s">
        <v>297</v>
      </c>
      <c r="B290">
        <f>_xll.BDP("LMT UN Equity","LAST_PRICE")</f>
        <v>510.01</v>
      </c>
      <c r="C290">
        <f>_xll.BDP("LMT UN Equity","LAST_PRICE")</f>
        <v>510.01</v>
      </c>
      <c r="D290">
        <f>_xll.BDP("LMT UN Equity","LAST_PRICE")</f>
        <v>510.01</v>
      </c>
      <c r="E290">
        <f>_xll.BDP("LMT UN Equity","LAST_PRICE")</f>
        <v>510.01</v>
      </c>
      <c r="F290">
        <f>_xll.BDP("LMT UN Equity","RT_PX_CHG_PCT_1D")</f>
        <v>-0.58869999647140503</v>
      </c>
      <c r="G290">
        <f>_xll.BDP("LMT UN Equity","REALTIME_5_DAY_CHANGE_PERCENT")</f>
        <v>-1.9852000000000001</v>
      </c>
      <c r="H290">
        <f>_xll.BDP("LMT UN Equity","CHG_PCT_1M_RT")</f>
        <v>-9.6623999999999999</v>
      </c>
      <c r="I290">
        <f>_xll.BDP("LMT UN Equity","CHG_PCT_3M_RT")</f>
        <v>-11.5441</v>
      </c>
      <c r="J290">
        <f>_xll.BDP("LMT UN Equity","CHG_PCT_YTD_RT")</f>
        <v>12.525399999999999</v>
      </c>
    </row>
    <row r="291" spans="1:10" x14ac:dyDescent="0.25">
      <c r="A291" t="s">
        <v>298</v>
      </c>
      <c r="B291">
        <f>_xll.BDP("LNT UW Equity","LAST_PRICE")</f>
        <v>60.91</v>
      </c>
      <c r="C291">
        <f>_xll.BDP("LNT UW Equity","LAST_PRICE")</f>
        <v>60.91</v>
      </c>
      <c r="D291">
        <f>_xll.BDP("LNT UW Equity","LAST_PRICE")</f>
        <v>60.91</v>
      </c>
      <c r="E291">
        <f>_xll.BDP("LNT UW Equity","LAST_PRICE")</f>
        <v>60.91</v>
      </c>
      <c r="F291">
        <f>_xll.BDP("LNT UW Equity","RT_PX_CHG_PCT_1D")</f>
        <v>-0.24570000171661377</v>
      </c>
      <c r="G291">
        <f>_xll.BDP("LNT UW Equity","REALTIME_5_DAY_CHANGE_PERCENT")</f>
        <v>-2.1997</v>
      </c>
      <c r="H291">
        <f>_xll.BDP("LNT UW Equity","CHG_PCT_1M_RT")</f>
        <v>5.4718999999999998</v>
      </c>
      <c r="I291">
        <f>_xll.BDP("LNT UW Equity","CHG_PCT_3M_RT")</f>
        <v>2.8016999999999999</v>
      </c>
      <c r="J291">
        <f>_xll.BDP("LNT UW Equity","CHG_PCT_YTD_RT")</f>
        <v>18.732900000000001</v>
      </c>
    </row>
    <row r="292" spans="1:10" x14ac:dyDescent="0.25">
      <c r="A292" t="s">
        <v>299</v>
      </c>
      <c r="B292">
        <f>_xll.BDP("LOW UN Equity","LAST_PRICE")</f>
        <v>274.14999999999998</v>
      </c>
      <c r="C292">
        <f>_xll.BDP("LOW UN Equity","LAST_PRICE")</f>
        <v>274.14999999999998</v>
      </c>
      <c r="D292">
        <f>_xll.BDP("LOW UN Equity","LAST_PRICE")</f>
        <v>274.14999999999998</v>
      </c>
      <c r="E292">
        <f>_xll.BDP("LOW UN Equity","LAST_PRICE")</f>
        <v>274.14999999999998</v>
      </c>
      <c r="F292">
        <f>_xll.BDP("LOW UN Equity","RT_PX_CHG_PCT_1D")</f>
        <v>0.26330000162124634</v>
      </c>
      <c r="G292">
        <f>_xll.BDP("LOW UN Equity","REALTIME_5_DAY_CHANGE_PERCENT")</f>
        <v>0.77190000000000003</v>
      </c>
      <c r="H292">
        <f>_xll.BDP("LOW UN Equity","CHG_PCT_1M_RT")</f>
        <v>1.125</v>
      </c>
      <c r="I292">
        <f>_xll.BDP("LOW UN Equity","CHG_PCT_3M_RT")</f>
        <v>12.0214</v>
      </c>
      <c r="J292">
        <f>_xll.BDP("LOW UN Equity","CHG_PCT_YTD_RT")</f>
        <v>23.1858</v>
      </c>
    </row>
    <row r="293" spans="1:10" x14ac:dyDescent="0.25">
      <c r="A293" t="s">
        <v>300</v>
      </c>
      <c r="B293">
        <f>_xll.BDP("LRCX UW Equity","LAST_PRICE")</f>
        <v>77.45</v>
      </c>
      <c r="C293">
        <f>_xll.BDP("LRCX UW Equity","LAST_PRICE")</f>
        <v>77.45</v>
      </c>
      <c r="D293">
        <f>_xll.BDP("LRCX UW Equity","LAST_PRICE")</f>
        <v>77.45</v>
      </c>
      <c r="E293">
        <f>_xll.BDP("LRCX UW Equity","LAST_PRICE")</f>
        <v>77.45</v>
      </c>
      <c r="F293">
        <f>_xll.BDP("LRCX UW Equity","RT_PX_CHG_PCT_1D")</f>
        <v>1.1229000091552734</v>
      </c>
      <c r="G293">
        <f>_xll.BDP("LRCX UW Equity","REALTIME_5_DAY_CHANGE_PERCENT")</f>
        <v>-1.3501000000000001</v>
      </c>
      <c r="H293">
        <f>_xll.BDP("LRCX UW Equity","CHG_PCT_1M_RT")</f>
        <v>-0.95909999999999995</v>
      </c>
      <c r="I293">
        <f>_xll.BDP("LRCX UW Equity","CHG_PCT_3M_RT")</f>
        <v>5.4732000000000003</v>
      </c>
      <c r="J293">
        <f>_xll.BDP("LRCX UW Equity","CHG_PCT_YTD_RT")</f>
        <v>-1.1184000000000001</v>
      </c>
    </row>
    <row r="294" spans="1:10" x14ac:dyDescent="0.25">
      <c r="A294" t="s">
        <v>301</v>
      </c>
      <c r="B294">
        <f>_xll.BDP("LULU UW Equity","LAST_PRICE")</f>
        <v>404.79</v>
      </c>
      <c r="C294">
        <f>_xll.BDP("LULU UW Equity","LAST_PRICE")</f>
        <v>404.79</v>
      </c>
      <c r="D294">
        <f>_xll.BDP("LULU UW Equity","LAST_PRICE")</f>
        <v>404.79</v>
      </c>
      <c r="E294">
        <f>_xll.BDP("LULU UW Equity","LAST_PRICE")</f>
        <v>404.79</v>
      </c>
      <c r="F294">
        <f>_xll.BDP("LULU UW Equity","RT_PX_CHG_PCT_1D")</f>
        <v>1.298799991607666</v>
      </c>
      <c r="G294">
        <f>_xll.BDP("LULU UW Equity","REALTIME_5_DAY_CHANGE_PERCENT")</f>
        <v>21.049600000000002</v>
      </c>
      <c r="H294">
        <f>_xll.BDP("LULU UW Equity","CHG_PCT_1M_RT")</f>
        <v>31.1996</v>
      </c>
      <c r="I294">
        <f>_xll.BDP("LULU UW Equity","CHG_PCT_3M_RT")</f>
        <v>62.837699999999998</v>
      </c>
      <c r="J294">
        <f>_xll.BDP("LULU UW Equity","CHG_PCT_YTD_RT")</f>
        <v>-20.829699999999999</v>
      </c>
    </row>
    <row r="295" spans="1:10" x14ac:dyDescent="0.25">
      <c r="A295" t="s">
        <v>302</v>
      </c>
      <c r="B295">
        <f>_xll.BDP("LUV UN Equity","LAST_PRICE")</f>
        <v>33.9</v>
      </c>
      <c r="C295">
        <f>_xll.BDP("LUV UN Equity","LAST_PRICE")</f>
        <v>33.9</v>
      </c>
      <c r="D295">
        <f>_xll.BDP("LUV UN Equity","LAST_PRICE")</f>
        <v>33.9</v>
      </c>
      <c r="E295">
        <f>_xll.BDP("LUV UN Equity","LAST_PRICE")</f>
        <v>33.9</v>
      </c>
      <c r="F295">
        <f>_xll.BDP("LUV UN Equity","RT_PX_CHG_PCT_1D")</f>
        <v>-0.81919997930526733</v>
      </c>
      <c r="G295">
        <f>_xll.BDP("LUV UN Equity","REALTIME_5_DAY_CHANGE_PERCENT")</f>
        <v>2.7273000000000001</v>
      </c>
      <c r="H295">
        <f>_xll.BDP("LUV UN Equity","CHG_PCT_1M_RT")</f>
        <v>6.6708999999999996</v>
      </c>
      <c r="I295">
        <f>_xll.BDP("LUV UN Equity","CHG_PCT_3M_RT")</f>
        <v>14.026199999999999</v>
      </c>
      <c r="J295">
        <f>_xll.BDP("LUV UN Equity","CHG_PCT_YTD_RT")</f>
        <v>17.382300000000001</v>
      </c>
    </row>
    <row r="296" spans="1:10" x14ac:dyDescent="0.25">
      <c r="A296" t="s">
        <v>303</v>
      </c>
      <c r="B296">
        <f>_xll.BDP("LVS UN Equity","LAST_PRICE")</f>
        <v>55.17</v>
      </c>
      <c r="C296">
        <f>_xll.BDP("LVS UN Equity","LAST_PRICE")</f>
        <v>55.17</v>
      </c>
      <c r="D296">
        <f>_xll.BDP("LVS UN Equity","LAST_PRICE")</f>
        <v>55.17</v>
      </c>
      <c r="E296">
        <f>_xll.BDP("LVS UN Equity","LAST_PRICE")</f>
        <v>55.17</v>
      </c>
      <c r="F296">
        <f>_xll.BDP("LVS UN Equity","RT_PX_CHG_PCT_1D")</f>
        <v>2.1856000423431396</v>
      </c>
      <c r="G296">
        <f>_xll.BDP("LVS UN Equity","REALTIME_5_DAY_CHANGE_PERCENT")</f>
        <v>0.30909999999999999</v>
      </c>
      <c r="H296">
        <f>_xll.BDP("LVS UN Equity","CHG_PCT_1M_RT")</f>
        <v>9.5076999999999998</v>
      </c>
      <c r="I296">
        <f>_xll.BDP("LVS UN Equity","CHG_PCT_3M_RT")</f>
        <v>37.924999999999997</v>
      </c>
      <c r="J296">
        <f>_xll.BDP("LVS UN Equity","CHG_PCT_YTD_RT")</f>
        <v>12.1114</v>
      </c>
    </row>
    <row r="297" spans="1:10" x14ac:dyDescent="0.25">
      <c r="A297" t="s">
        <v>304</v>
      </c>
      <c r="B297">
        <f>_xll.BDP("LW UN Equity","LAST_PRICE")</f>
        <v>78.010000000000005</v>
      </c>
      <c r="C297">
        <f>_xll.BDP("LW UN Equity","LAST_PRICE")</f>
        <v>78.010000000000005</v>
      </c>
      <c r="D297">
        <f>_xll.BDP("LW UN Equity","LAST_PRICE")</f>
        <v>78.010000000000005</v>
      </c>
      <c r="E297">
        <f>_xll.BDP("LW UN Equity","LAST_PRICE")</f>
        <v>78.010000000000005</v>
      </c>
      <c r="F297">
        <f>_xll.BDP("LW UN Equity","RT_PX_CHG_PCT_1D")</f>
        <v>0.61909997463226318</v>
      </c>
      <c r="G297">
        <f>_xll.BDP("LW UN Equity","REALTIME_5_DAY_CHANGE_PERCENT")</f>
        <v>-0.42120000000000002</v>
      </c>
      <c r="H297">
        <f>_xll.BDP("LW UN Equity","CHG_PCT_1M_RT")</f>
        <v>-3.9285999999999999</v>
      </c>
      <c r="I297">
        <f>_xll.BDP("LW UN Equity","CHG_PCT_3M_RT")</f>
        <v>23.4922</v>
      </c>
      <c r="J297">
        <f>_xll.BDP("LW UN Equity","CHG_PCT_YTD_RT")</f>
        <v>-27.828700000000001</v>
      </c>
    </row>
    <row r="298" spans="1:10" x14ac:dyDescent="0.25">
      <c r="A298" t="s">
        <v>305</v>
      </c>
      <c r="B298">
        <f>_xll.BDP("LYB UN Equity","LAST_PRICE")</f>
        <v>77.31</v>
      </c>
      <c r="C298">
        <f>_xll.BDP("LYB UN Equity","LAST_PRICE")</f>
        <v>77.31</v>
      </c>
      <c r="D298">
        <f>_xll.BDP("LYB UN Equity","LAST_PRICE")</f>
        <v>77.31</v>
      </c>
      <c r="E298">
        <f>_xll.BDP("LYB UN Equity","LAST_PRICE")</f>
        <v>77.31</v>
      </c>
      <c r="F298">
        <f>_xll.BDP("LYB UN Equity","RT_PX_CHG_PCT_1D")</f>
        <v>1.2043000459671021</v>
      </c>
      <c r="G298">
        <f>_xll.BDP("LYB UN Equity","REALTIME_5_DAY_CHANGE_PERCENT")</f>
        <v>-5.7770000000000001</v>
      </c>
      <c r="H298">
        <f>_xll.BDP("LYB UN Equity","CHG_PCT_1M_RT")</f>
        <v>-9.3668999999999993</v>
      </c>
      <c r="I298">
        <f>_xll.BDP("LYB UN Equity","CHG_PCT_3M_RT")</f>
        <v>-18.432200000000002</v>
      </c>
      <c r="J298">
        <f>_xll.BDP("LYB UN Equity","CHG_PCT_YTD_RT")</f>
        <v>-18.689499999999999</v>
      </c>
    </row>
    <row r="299" spans="1:10" x14ac:dyDescent="0.25">
      <c r="A299" t="s">
        <v>306</v>
      </c>
      <c r="B299">
        <f>_xll.BDP("LYV UN Equity","LAST_PRICE")</f>
        <v>133.99</v>
      </c>
      <c r="C299">
        <f>_xll.BDP("LYV UN Equity","LAST_PRICE")</f>
        <v>133.99</v>
      </c>
      <c r="D299">
        <f>_xll.BDP("LYV UN Equity","LAST_PRICE")</f>
        <v>133.99</v>
      </c>
      <c r="E299">
        <f>_xll.BDP("LYV UN Equity","LAST_PRICE")</f>
        <v>133.99</v>
      </c>
      <c r="F299">
        <f>_xll.BDP("LYV UN Equity","RT_PX_CHG_PCT_1D")</f>
        <v>-2.025399923324585</v>
      </c>
      <c r="G299">
        <f>_xll.BDP("LYV UN Equity","REALTIME_5_DAY_CHANGE_PERCENT")</f>
        <v>-2.7366000000000001</v>
      </c>
      <c r="H299">
        <f>_xll.BDP("LYV UN Equity","CHG_PCT_1M_RT")</f>
        <v>8.9350000000000005</v>
      </c>
      <c r="I299">
        <f>_xll.BDP("LYV UN Equity","CHG_PCT_3M_RT")</f>
        <v>41.339700000000001</v>
      </c>
      <c r="J299">
        <f>_xll.BDP("LYV UN Equity","CHG_PCT_YTD_RT")</f>
        <v>43.151699999999998</v>
      </c>
    </row>
    <row r="300" spans="1:10" x14ac:dyDescent="0.25">
      <c r="A300" t="s">
        <v>307</v>
      </c>
      <c r="B300">
        <f>_xll.BDP("MA UN Equity","LAST_PRICE")</f>
        <v>522.82000000000005</v>
      </c>
      <c r="C300">
        <f>_xll.BDP("MA UN Equity","LAST_PRICE")</f>
        <v>522.82000000000005</v>
      </c>
      <c r="D300">
        <f>_xll.BDP("MA UN Equity","LAST_PRICE")</f>
        <v>522.82000000000005</v>
      </c>
      <c r="E300">
        <f>_xll.BDP("MA UN Equity","LAST_PRICE")</f>
        <v>522.82000000000005</v>
      </c>
      <c r="F300">
        <f>_xll.BDP("MA UN Equity","RT_PX_CHG_PCT_1D")</f>
        <v>-1.0878000259399414</v>
      </c>
      <c r="G300">
        <f>_xll.BDP("MA UN Equity","REALTIME_5_DAY_CHANGE_PERCENT")</f>
        <v>-1.6072</v>
      </c>
      <c r="H300">
        <f>_xll.BDP("MA UN Equity","CHG_PCT_1M_RT")</f>
        <v>-0.36969999999999997</v>
      </c>
      <c r="I300">
        <f>_xll.BDP("MA UN Equity","CHG_PCT_3M_RT")</f>
        <v>7.3353999999999999</v>
      </c>
      <c r="J300">
        <f>_xll.BDP("MA UN Equity","CHG_PCT_YTD_RT")</f>
        <v>22.5809</v>
      </c>
    </row>
    <row r="301" spans="1:10" x14ac:dyDescent="0.25">
      <c r="A301" t="s">
        <v>308</v>
      </c>
      <c r="B301">
        <f>_xll.BDP("MAA UN Equity","LAST_PRICE")</f>
        <v>159.15</v>
      </c>
      <c r="C301">
        <f>_xll.BDP("MAA UN Equity","LAST_PRICE")</f>
        <v>159.15</v>
      </c>
      <c r="D301">
        <f>_xll.BDP("MAA UN Equity","LAST_PRICE")</f>
        <v>159.15</v>
      </c>
      <c r="E301">
        <f>_xll.BDP("MAA UN Equity","LAST_PRICE")</f>
        <v>159.15</v>
      </c>
      <c r="F301">
        <f>_xll.BDP("MAA UN Equity","RT_PX_CHG_PCT_1D")</f>
        <v>0.13210000097751617</v>
      </c>
      <c r="G301">
        <f>_xll.BDP("MAA UN Equity","REALTIME_5_DAY_CHANGE_PERCENT")</f>
        <v>-1.9409000000000001</v>
      </c>
      <c r="H301">
        <f>_xll.BDP("MAA UN Equity","CHG_PCT_1M_RT")</f>
        <v>6.3E-3</v>
      </c>
      <c r="I301">
        <f>_xll.BDP("MAA UN Equity","CHG_PCT_3M_RT")</f>
        <v>-0.71740000000000004</v>
      </c>
      <c r="J301">
        <f>_xll.BDP("MAA UN Equity","CHG_PCT_YTD_RT")</f>
        <v>18.362300000000001</v>
      </c>
    </row>
    <row r="302" spans="1:10" x14ac:dyDescent="0.25">
      <c r="A302" t="s">
        <v>309</v>
      </c>
      <c r="B302">
        <f>_xll.BDP("MAR UW Equity","LAST_PRICE")</f>
        <v>286.97000000000003</v>
      </c>
      <c r="C302">
        <f>_xll.BDP("MAR UW Equity","LAST_PRICE")</f>
        <v>286.97000000000003</v>
      </c>
      <c r="D302">
        <f>_xll.BDP("MAR UW Equity","LAST_PRICE")</f>
        <v>286.97000000000003</v>
      </c>
      <c r="E302">
        <f>_xll.BDP("MAR UW Equity","LAST_PRICE")</f>
        <v>286.97000000000003</v>
      </c>
      <c r="F302">
        <f>_xll.BDP("MAR UW Equity","RT_PX_CHG_PCT_1D")</f>
        <v>-1.9207999706268311</v>
      </c>
      <c r="G302">
        <f>_xll.BDP("MAR UW Equity","REALTIME_5_DAY_CHANGE_PERCENT")</f>
        <v>0.255</v>
      </c>
      <c r="H302">
        <f>_xll.BDP("MAR UW Equity","CHG_PCT_1M_RT")</f>
        <v>2.1972999999999998</v>
      </c>
      <c r="I302">
        <f>_xll.BDP("MAR UW Equity","CHG_PCT_3M_RT")</f>
        <v>25.539200000000001</v>
      </c>
      <c r="J302">
        <f>_xll.BDP("MAR UW Equity","CHG_PCT_YTD_RT")</f>
        <v>27.253799999999998</v>
      </c>
    </row>
    <row r="303" spans="1:10" x14ac:dyDescent="0.25">
      <c r="A303" t="s">
        <v>310</v>
      </c>
      <c r="B303">
        <f>_xll.BDP("MAS UN Equity","LAST_PRICE")</f>
        <v>81.239999999999995</v>
      </c>
      <c r="C303">
        <f>_xll.BDP("MAS UN Equity","LAST_PRICE")</f>
        <v>81.239999999999995</v>
      </c>
      <c r="D303">
        <f>_xll.BDP("MAS UN Equity","LAST_PRICE")</f>
        <v>81.239999999999995</v>
      </c>
      <c r="E303">
        <f>_xll.BDP("MAS UN Equity","LAST_PRICE")</f>
        <v>81.239999999999995</v>
      </c>
      <c r="F303">
        <f>_xll.BDP("MAS UN Equity","RT_PX_CHG_PCT_1D")</f>
        <v>0.28389999270439148</v>
      </c>
      <c r="G303">
        <f>_xll.BDP("MAS UN Equity","REALTIME_5_DAY_CHANGE_PERCENT")</f>
        <v>0.91930000000000001</v>
      </c>
      <c r="H303">
        <f>_xll.BDP("MAS UN Equity","CHG_PCT_1M_RT")</f>
        <v>0.35820000000000002</v>
      </c>
      <c r="I303">
        <f>_xll.BDP("MAS UN Equity","CHG_PCT_3M_RT")</f>
        <v>5.0697999999999999</v>
      </c>
      <c r="J303">
        <f>_xll.BDP("MAS UN Equity","CHG_PCT_YTD_RT")</f>
        <v>21.289899999999999</v>
      </c>
    </row>
    <row r="304" spans="1:10" x14ac:dyDescent="0.25">
      <c r="A304" t="s">
        <v>311</v>
      </c>
      <c r="B304">
        <f>_xll.BDP("MCD UN Equity","LAST_PRICE")</f>
        <v>301.37</v>
      </c>
      <c r="C304">
        <f>_xll.BDP("MCD UN Equity","LAST_PRICE")</f>
        <v>301.37</v>
      </c>
      <c r="D304">
        <f>_xll.BDP("MCD UN Equity","LAST_PRICE")</f>
        <v>301.37</v>
      </c>
      <c r="E304">
        <f>_xll.BDP("MCD UN Equity","LAST_PRICE")</f>
        <v>301.37</v>
      </c>
      <c r="F304">
        <f>_xll.BDP("MCD UN Equity","RT_PX_CHG_PCT_1D")</f>
        <v>0.7993999719619751</v>
      </c>
      <c r="G304">
        <f>_xll.BDP("MCD UN Equity","REALTIME_5_DAY_CHANGE_PERCENT")</f>
        <v>3.0535999999999999</v>
      </c>
      <c r="H304">
        <f>_xll.BDP("MCD UN Equity","CHG_PCT_1M_RT")</f>
        <v>0.80279999999999996</v>
      </c>
      <c r="I304">
        <f>_xll.BDP("MCD UN Equity","CHG_PCT_3M_RT")</f>
        <v>3.4605000000000001</v>
      </c>
      <c r="J304">
        <f>_xll.BDP("MCD UN Equity","CHG_PCT_YTD_RT")</f>
        <v>1.6391</v>
      </c>
    </row>
    <row r="305" spans="1:10" x14ac:dyDescent="0.25">
      <c r="A305" t="s">
        <v>312</v>
      </c>
      <c r="B305">
        <f>_xll.BDP("MCHP UW Equity","LAST_PRICE")</f>
        <v>61.87</v>
      </c>
      <c r="C305">
        <f>_xll.BDP("MCHP UW Equity","LAST_PRICE")</f>
        <v>61.87</v>
      </c>
      <c r="D305">
        <f>_xll.BDP("MCHP UW Equity","LAST_PRICE")</f>
        <v>61.87</v>
      </c>
      <c r="E305">
        <f>_xll.BDP("MCHP UW Equity","LAST_PRICE")</f>
        <v>61.87</v>
      </c>
      <c r="F305">
        <f>_xll.BDP("MCHP UW Equity","RT_PX_CHG_PCT_1D")</f>
        <v>4.3515000343322754</v>
      </c>
      <c r="G305">
        <f>_xll.BDP("MCHP UW Equity","REALTIME_5_DAY_CHANGE_PERCENT")</f>
        <v>-12.004</v>
      </c>
      <c r="H305">
        <f>_xll.BDP("MCHP UW Equity","CHG_PCT_1M_RT")</f>
        <v>-15.0954</v>
      </c>
      <c r="I305">
        <f>_xll.BDP("MCHP UW Equity","CHG_PCT_3M_RT")</f>
        <v>-17.955200000000001</v>
      </c>
      <c r="J305">
        <f>_xll.BDP("MCHP UW Equity","CHG_PCT_YTD_RT")</f>
        <v>-31.392800000000001</v>
      </c>
    </row>
    <row r="306" spans="1:10" x14ac:dyDescent="0.25">
      <c r="A306" t="s">
        <v>313</v>
      </c>
      <c r="B306">
        <f>_xll.BDP("MCK UN Equity","LAST_PRICE")</f>
        <v>591.9</v>
      </c>
      <c r="C306">
        <f>_xll.BDP("MCK UN Equity","LAST_PRICE")</f>
        <v>591.9</v>
      </c>
      <c r="D306">
        <f>_xll.BDP("MCK UN Equity","LAST_PRICE")</f>
        <v>591.9</v>
      </c>
      <c r="E306">
        <f>_xll.BDP("MCK UN Equity","LAST_PRICE")</f>
        <v>591.9</v>
      </c>
      <c r="F306">
        <f>_xll.BDP("MCK UN Equity","RT_PX_CHG_PCT_1D")</f>
        <v>-1.9270000457763672</v>
      </c>
      <c r="G306">
        <f>_xll.BDP("MCK UN Equity","REALTIME_5_DAY_CHANGE_PERCENT")</f>
        <v>-4.7305000000000001</v>
      </c>
      <c r="H306">
        <f>_xll.BDP("MCK UN Equity","CHG_PCT_1M_RT")</f>
        <v>-3.4420999999999999</v>
      </c>
      <c r="I306">
        <f>_xll.BDP("MCK UN Equity","CHG_PCT_3M_RT")</f>
        <v>16.190999999999999</v>
      </c>
      <c r="J306">
        <f>_xll.BDP("MCK UN Equity","CHG_PCT_YTD_RT")</f>
        <v>27.845700000000001</v>
      </c>
    </row>
    <row r="307" spans="1:10" x14ac:dyDescent="0.25">
      <c r="A307" t="s">
        <v>314</v>
      </c>
      <c r="B307">
        <f>_xll.BDP("MCO UN Equity","LAST_PRICE")</f>
        <v>490.52</v>
      </c>
      <c r="C307">
        <f>_xll.BDP("MCO UN Equity","LAST_PRICE")</f>
        <v>490.52</v>
      </c>
      <c r="D307">
        <f>_xll.BDP("MCO UN Equity","LAST_PRICE")</f>
        <v>490.52</v>
      </c>
      <c r="E307">
        <f>_xll.BDP("MCO UN Equity","LAST_PRICE")</f>
        <v>490.52</v>
      </c>
      <c r="F307">
        <f>_xll.BDP("MCO UN Equity","RT_PX_CHG_PCT_1D")</f>
        <v>-0.85699999332427979</v>
      </c>
      <c r="G307">
        <f>_xll.BDP("MCO UN Equity","REALTIME_5_DAY_CHANGE_PERCENT")</f>
        <v>-1.3852</v>
      </c>
      <c r="H307">
        <f>_xll.BDP("MCO UN Equity","CHG_PCT_1M_RT")</f>
        <v>2.7955999999999999</v>
      </c>
      <c r="I307">
        <f>_xll.BDP("MCO UN Equity","CHG_PCT_3M_RT")</f>
        <v>1.7149000000000001</v>
      </c>
      <c r="J307">
        <f>_xll.BDP("MCO UN Equity","CHG_PCT_YTD_RT")</f>
        <v>25.594000000000001</v>
      </c>
    </row>
    <row r="308" spans="1:10" x14ac:dyDescent="0.25">
      <c r="A308" t="s">
        <v>315</v>
      </c>
      <c r="B308">
        <f>_xll.BDP("MDLZ UW Equity","LAST_PRICE")</f>
        <v>61.44</v>
      </c>
      <c r="C308">
        <f>_xll.BDP("MDLZ UW Equity","LAST_PRICE")</f>
        <v>61.44</v>
      </c>
      <c r="D308">
        <f>_xll.BDP("MDLZ UW Equity","LAST_PRICE")</f>
        <v>61.44</v>
      </c>
      <c r="E308">
        <f>_xll.BDP("MDLZ UW Equity","LAST_PRICE")</f>
        <v>61.44</v>
      </c>
      <c r="F308">
        <f>_xll.BDP("MDLZ UW Equity","RT_PX_CHG_PCT_1D")</f>
        <v>-2.2590000629425049</v>
      </c>
      <c r="G308">
        <f>_xll.BDP("MDLZ UW Equity","REALTIME_5_DAY_CHANGE_PERCENT")</f>
        <v>-5.8102</v>
      </c>
      <c r="H308">
        <f>_xll.BDP("MDLZ UW Equity","CHG_PCT_1M_RT")</f>
        <v>-7.1902999999999997</v>
      </c>
      <c r="I308">
        <f>_xll.BDP("MDLZ UW Equity","CHG_PCT_3M_RT")</f>
        <v>-18.848199999999999</v>
      </c>
      <c r="J308">
        <f>_xll.BDP("MDLZ UW Equity","CHG_PCT_YTD_RT")</f>
        <v>-15.173299999999999</v>
      </c>
    </row>
    <row r="309" spans="1:10" x14ac:dyDescent="0.25">
      <c r="A309" t="s">
        <v>316</v>
      </c>
      <c r="B309">
        <f>_xll.BDP("MDT UN Equity","LAST_PRICE")</f>
        <v>83.96</v>
      </c>
      <c r="C309">
        <f>_xll.BDP("MDT UN Equity","LAST_PRICE")</f>
        <v>83.96</v>
      </c>
      <c r="D309">
        <f>_xll.BDP("MDT UN Equity","LAST_PRICE")</f>
        <v>83.96</v>
      </c>
      <c r="E309">
        <f>_xll.BDP("MDT UN Equity","LAST_PRICE")</f>
        <v>83.96</v>
      </c>
      <c r="F309">
        <f>_xll.BDP("MDT UN Equity","RT_PX_CHG_PCT_1D")</f>
        <v>-5.950000137090683E-2</v>
      </c>
      <c r="G309">
        <f>_xll.BDP("MDT UN Equity","REALTIME_5_DAY_CHANGE_PERCENT")</f>
        <v>-2.9813000000000001</v>
      </c>
      <c r="H309">
        <f>_xll.BDP("MDT UN Equity","CHG_PCT_1M_RT")</f>
        <v>-4.2864000000000004</v>
      </c>
      <c r="I309">
        <f>_xll.BDP("MDT UN Equity","CHG_PCT_3M_RT")</f>
        <v>-7.3494000000000002</v>
      </c>
      <c r="J309">
        <f>_xll.BDP("MDT UN Equity","CHG_PCT_YTD_RT")</f>
        <v>1.9178999999999999</v>
      </c>
    </row>
    <row r="310" spans="1:10" x14ac:dyDescent="0.25">
      <c r="A310" t="s">
        <v>317</v>
      </c>
      <c r="B310">
        <f>_xll.BDP("MET UN Equity","LAST_PRICE")</f>
        <v>82.28</v>
      </c>
      <c r="C310">
        <f>_xll.BDP("MET UN Equity","LAST_PRICE")</f>
        <v>82.28</v>
      </c>
      <c r="D310">
        <f>_xll.BDP("MET UN Equity","LAST_PRICE")</f>
        <v>82.28</v>
      </c>
      <c r="E310">
        <f>_xll.BDP("MET UN Equity","LAST_PRICE")</f>
        <v>82.28</v>
      </c>
      <c r="F310">
        <f>_xll.BDP("MET UN Equity","RT_PX_CHG_PCT_1D")</f>
        <v>-3.4498999118804932</v>
      </c>
      <c r="G310">
        <f>_xll.BDP("MET UN Equity","REALTIME_5_DAY_CHANGE_PERCENT")</f>
        <v>-5.2946999999999997</v>
      </c>
      <c r="H310">
        <f>_xll.BDP("MET UN Equity","CHG_PCT_1M_RT")</f>
        <v>1.5551999999999999</v>
      </c>
      <c r="I310">
        <f>_xll.BDP("MET UN Equity","CHG_PCT_3M_RT")</f>
        <v>9.0090000000000003</v>
      </c>
      <c r="J310">
        <f>_xll.BDP("MET UN Equity","CHG_PCT_YTD_RT")</f>
        <v>24.421600000000002</v>
      </c>
    </row>
    <row r="311" spans="1:10" x14ac:dyDescent="0.25">
      <c r="A311" t="s">
        <v>318</v>
      </c>
      <c r="B311">
        <f>_xll.BDP("META UW Equity","LAST_PRICE")</f>
        <v>613.57000000000005</v>
      </c>
      <c r="C311">
        <f>_xll.BDP("META UW Equity","LAST_PRICE")</f>
        <v>613.57000000000005</v>
      </c>
      <c r="D311">
        <f>_xll.BDP("META UW Equity","LAST_PRICE")</f>
        <v>613.57000000000005</v>
      </c>
      <c r="E311">
        <f>_xll.BDP("META UW Equity","LAST_PRICE")</f>
        <v>613.57000000000005</v>
      </c>
      <c r="F311">
        <f>_xll.BDP("META UW Equity","RT_PX_CHG_PCT_1D")</f>
        <v>-1.635200023651123</v>
      </c>
      <c r="G311">
        <f>_xll.BDP("META UW Equity","REALTIME_5_DAY_CHANGE_PERCENT")</f>
        <v>3.4984999999999999</v>
      </c>
      <c r="H311">
        <f>_xll.BDP("META UW Equity","CHG_PCT_1M_RT")</f>
        <v>4.1113999999999997</v>
      </c>
      <c r="I311">
        <f>_xll.BDP("META UW Equity","CHG_PCT_3M_RT")</f>
        <v>21.549600000000002</v>
      </c>
      <c r="J311">
        <f>_xll.BDP("META UW Equity","CHG_PCT_YTD_RT")</f>
        <v>73.344399999999993</v>
      </c>
    </row>
    <row r="312" spans="1:10" x14ac:dyDescent="0.25">
      <c r="A312" t="s">
        <v>319</v>
      </c>
      <c r="B312">
        <f>_xll.BDP("MGM UN Equity","LAST_PRICE")</f>
        <v>36.6</v>
      </c>
      <c r="C312">
        <f>_xll.BDP("MGM UN Equity","LAST_PRICE")</f>
        <v>36.6</v>
      </c>
      <c r="D312">
        <f>_xll.BDP("MGM UN Equity","LAST_PRICE")</f>
        <v>36.6</v>
      </c>
      <c r="E312">
        <f>_xll.BDP("MGM UN Equity","LAST_PRICE")</f>
        <v>36.6</v>
      </c>
      <c r="F312">
        <f>_xll.BDP("MGM UN Equity","RT_PX_CHG_PCT_1D")</f>
        <v>-0.16369999945163727</v>
      </c>
      <c r="G312">
        <f>_xll.BDP("MGM UN Equity","REALTIME_5_DAY_CHANGE_PERCENT")</f>
        <v>-4.4137000000000004</v>
      </c>
      <c r="H312">
        <f>_xll.BDP("MGM UN Equity","CHG_PCT_1M_RT")</f>
        <v>-0.24529999999999999</v>
      </c>
      <c r="I312">
        <f>_xll.BDP("MGM UN Equity","CHG_PCT_3M_RT")</f>
        <v>4.6611000000000002</v>
      </c>
      <c r="J312">
        <f>_xll.BDP("MGM UN Equity","CHG_PCT_YTD_RT")</f>
        <v>-18.084199999999999</v>
      </c>
    </row>
    <row r="313" spans="1:10" x14ac:dyDescent="0.25">
      <c r="A313" t="s">
        <v>320</v>
      </c>
      <c r="B313">
        <f>_xll.BDP("MHK UN Equity","LAST_PRICE")</f>
        <v>132.97</v>
      </c>
      <c r="C313">
        <f>_xll.BDP("MHK UN Equity","LAST_PRICE")</f>
        <v>132.97</v>
      </c>
      <c r="D313">
        <f>_xll.BDP("MHK UN Equity","LAST_PRICE")</f>
        <v>132.97</v>
      </c>
      <c r="E313">
        <f>_xll.BDP("MHK UN Equity","LAST_PRICE")</f>
        <v>132.97</v>
      </c>
      <c r="F313">
        <f>_xll.BDP("MHK UN Equity","RT_PX_CHG_PCT_1D")</f>
        <v>1.5657999515533447</v>
      </c>
      <c r="G313">
        <f>_xll.BDP("MHK UN Equity","REALTIME_5_DAY_CHANGE_PERCENT")</f>
        <v>-2.4645999999999999</v>
      </c>
      <c r="H313">
        <f>_xll.BDP("MHK UN Equity","CHG_PCT_1M_RT")</f>
        <v>-8.8872</v>
      </c>
      <c r="I313">
        <f>_xll.BDP("MHK UN Equity","CHG_PCT_3M_RT")</f>
        <v>-10.8422</v>
      </c>
      <c r="J313">
        <f>_xll.BDP("MHK UN Equity","CHG_PCT_YTD_RT")</f>
        <v>28.473400000000002</v>
      </c>
    </row>
    <row r="314" spans="1:10" x14ac:dyDescent="0.25">
      <c r="A314" t="s">
        <v>321</v>
      </c>
      <c r="B314">
        <f>_xll.BDP("MKC UN Equity","LAST_PRICE")</f>
        <v>79.97</v>
      </c>
      <c r="C314">
        <f>_xll.BDP("MKC UN Equity","LAST_PRICE")</f>
        <v>79.97</v>
      </c>
      <c r="D314">
        <f>_xll.BDP("MKC UN Equity","LAST_PRICE")</f>
        <v>79.97</v>
      </c>
      <c r="E314">
        <f>_xll.BDP("MKC UN Equity","LAST_PRICE")</f>
        <v>79.97</v>
      </c>
      <c r="F314">
        <f>_xll.BDP("MKC UN Equity","RT_PX_CHG_PCT_1D")</f>
        <v>3.1870999336242676</v>
      </c>
      <c r="G314">
        <f>_xll.BDP("MKC UN Equity","REALTIME_5_DAY_CHANGE_PERCENT")</f>
        <v>2.0415999999999999</v>
      </c>
      <c r="H314">
        <f>_xll.BDP("MKC UN Equity","CHG_PCT_1M_RT")</f>
        <v>3.2004000000000001</v>
      </c>
      <c r="I314">
        <f>_xll.BDP("MKC UN Equity","CHG_PCT_3M_RT")</f>
        <v>-3.9283999999999999</v>
      </c>
      <c r="J314">
        <f>_xll.BDP("MKC UN Equity","CHG_PCT_YTD_RT")</f>
        <v>16.881</v>
      </c>
    </row>
    <row r="315" spans="1:10" x14ac:dyDescent="0.25">
      <c r="A315" t="s">
        <v>322</v>
      </c>
      <c r="B315">
        <f>_xll.BDP("MKTX UW Equity","LAST_PRICE")</f>
        <v>240.97</v>
      </c>
      <c r="C315">
        <f>_xll.BDP("MKTX UW Equity","LAST_PRICE")</f>
        <v>240.97</v>
      </c>
      <c r="D315">
        <f>_xll.BDP("MKTX UW Equity","LAST_PRICE")</f>
        <v>240.97</v>
      </c>
      <c r="E315">
        <f>_xll.BDP("MKTX UW Equity","LAST_PRICE")</f>
        <v>240.97</v>
      </c>
      <c r="F315">
        <f>_xll.BDP("MKTX UW Equity","RT_PX_CHG_PCT_1D")</f>
        <v>0.43349999189376831</v>
      </c>
      <c r="G315">
        <f>_xll.BDP("MKTX UW Equity","REALTIME_5_DAY_CHANGE_PERCENT")</f>
        <v>-8.5398999999999994</v>
      </c>
      <c r="H315">
        <f>_xll.BDP("MKTX UW Equity","CHG_PCT_1M_RT")</f>
        <v>-12.272500000000001</v>
      </c>
      <c r="I315">
        <f>_xll.BDP("MKTX UW Equity","CHG_PCT_3M_RT")</f>
        <v>-6.5282999999999998</v>
      </c>
      <c r="J315">
        <f>_xll.BDP("MKTX UW Equity","CHG_PCT_YTD_RT")</f>
        <v>-17.715599999999998</v>
      </c>
    </row>
    <row r="316" spans="1:10" x14ac:dyDescent="0.25">
      <c r="A316" t="s">
        <v>323</v>
      </c>
      <c r="B316">
        <f>_xll.BDP("MLM UN Equity","LAST_PRICE")</f>
        <v>574.70000000000005</v>
      </c>
      <c r="C316">
        <f>_xll.BDP("MLM UN Equity","LAST_PRICE")</f>
        <v>574.70000000000005</v>
      </c>
      <c r="D316">
        <f>_xll.BDP("MLM UN Equity","LAST_PRICE")</f>
        <v>574.70000000000005</v>
      </c>
      <c r="E316">
        <f>_xll.BDP("MLM UN Equity","LAST_PRICE")</f>
        <v>574.70000000000005</v>
      </c>
      <c r="F316">
        <f>_xll.BDP("MLM UN Equity","RT_PX_CHG_PCT_1D")</f>
        <v>-1.1150000095367432</v>
      </c>
      <c r="G316">
        <f>_xll.BDP("MLM UN Equity","REALTIME_5_DAY_CHANGE_PERCENT")</f>
        <v>-3.1219000000000001</v>
      </c>
      <c r="H316">
        <f>_xll.BDP("MLM UN Equity","CHG_PCT_1M_RT")</f>
        <v>-7.2435999999999998</v>
      </c>
      <c r="I316">
        <f>_xll.BDP("MLM UN Equity","CHG_PCT_3M_RT")</f>
        <v>13.5367</v>
      </c>
      <c r="J316">
        <f>_xll.BDP("MLM UN Equity","CHG_PCT_YTD_RT")</f>
        <v>15.1911</v>
      </c>
    </row>
    <row r="317" spans="1:10" x14ac:dyDescent="0.25">
      <c r="A317" t="s">
        <v>324</v>
      </c>
      <c r="B317">
        <f>_xll.BDP("MMC UN Equity","LAST_PRICE")</f>
        <v>218.17</v>
      </c>
      <c r="C317">
        <f>_xll.BDP("MMC UN Equity","LAST_PRICE")</f>
        <v>218.17</v>
      </c>
      <c r="D317">
        <f>_xll.BDP("MMC UN Equity","LAST_PRICE")</f>
        <v>218.17</v>
      </c>
      <c r="E317">
        <f>_xll.BDP("MMC UN Equity","LAST_PRICE")</f>
        <v>218.17</v>
      </c>
      <c r="F317">
        <f>_xll.BDP("MMC UN Equity","RT_PX_CHG_PCT_1D")</f>
        <v>-3.1045000553131104</v>
      </c>
      <c r="G317">
        <f>_xll.BDP("MMC UN Equity","REALTIME_5_DAY_CHANGE_PERCENT")</f>
        <v>-6.3808999999999996</v>
      </c>
      <c r="H317">
        <f>_xll.BDP("MMC UN Equity","CHG_PCT_1M_RT")</f>
        <v>-3.1905000000000001</v>
      </c>
      <c r="I317">
        <f>_xll.BDP("MMC UN Equity","CHG_PCT_3M_RT")</f>
        <v>-5.3821000000000003</v>
      </c>
      <c r="J317">
        <f>_xll.BDP("MMC UN Equity","CHG_PCT_YTD_RT")</f>
        <v>15.147500000000001</v>
      </c>
    </row>
    <row r="318" spans="1:10" x14ac:dyDescent="0.25">
      <c r="A318" t="s">
        <v>325</v>
      </c>
      <c r="B318">
        <f>_xll.BDP("MMM UN Equity","LAST_PRICE")</f>
        <v>131.49</v>
      </c>
      <c r="C318">
        <f>_xll.BDP("MMM UN Equity","LAST_PRICE")</f>
        <v>131.49</v>
      </c>
      <c r="D318">
        <f>_xll.BDP("MMM UN Equity","LAST_PRICE")</f>
        <v>131.49</v>
      </c>
      <c r="E318">
        <f>_xll.BDP("MMM UN Equity","LAST_PRICE")</f>
        <v>131.49</v>
      </c>
      <c r="F318">
        <f>_xll.BDP("MMM UN Equity","RT_PX_CHG_PCT_1D")</f>
        <v>-1.2170000076293945</v>
      </c>
      <c r="G318">
        <f>_xll.BDP("MMM UN Equity","REALTIME_5_DAY_CHANGE_PERCENT")</f>
        <v>-1.0535000000000001</v>
      </c>
      <c r="H318">
        <f>_xll.BDP("MMM UN Equity","CHG_PCT_1M_RT")</f>
        <v>-2.1215000000000002</v>
      </c>
      <c r="I318">
        <f>_xll.BDP("MMM UN Equity","CHG_PCT_3M_RT")</f>
        <v>2.3586999999999998</v>
      </c>
      <c r="J318">
        <f>_xll.BDP("MMM UN Equity","CHG_PCT_YTD_RT")</f>
        <v>43.862099999999998</v>
      </c>
    </row>
    <row r="319" spans="1:10" x14ac:dyDescent="0.25">
      <c r="A319" t="s">
        <v>326</v>
      </c>
      <c r="B319">
        <f>_xll.BDP("MNST UW Equity","LAST_PRICE")</f>
        <v>53.21</v>
      </c>
      <c r="C319">
        <f>_xll.BDP("MNST UW Equity","LAST_PRICE")</f>
        <v>53.21</v>
      </c>
      <c r="D319">
        <f>_xll.BDP("MNST UW Equity","LAST_PRICE")</f>
        <v>53.21</v>
      </c>
      <c r="E319">
        <f>_xll.BDP("MNST UW Equity","LAST_PRICE")</f>
        <v>53.21</v>
      </c>
      <c r="F319">
        <f>_xll.BDP("MNST UW Equity","RT_PX_CHG_PCT_1D")</f>
        <v>1.7984000444412231</v>
      </c>
      <c r="G319">
        <f>_xll.BDP("MNST UW Equity","REALTIME_5_DAY_CHANGE_PERCENT")</f>
        <v>-3.2193999999999998</v>
      </c>
      <c r="H319">
        <f>_xll.BDP("MNST UW Equity","CHG_PCT_1M_RT")</f>
        <v>-1.7178</v>
      </c>
      <c r="I319">
        <f>_xll.BDP("MNST UW Equity","CHG_PCT_3M_RT")</f>
        <v>4.8680000000000003</v>
      </c>
      <c r="J319">
        <f>_xll.BDP("MNST UW Equity","CHG_PCT_YTD_RT")</f>
        <v>-7.6375999999999999</v>
      </c>
    </row>
    <row r="320" spans="1:10" x14ac:dyDescent="0.25">
      <c r="A320" t="s">
        <v>327</v>
      </c>
      <c r="B320">
        <f>_xll.BDP("MO UN Equity","LAST_PRICE")</f>
        <v>55.86</v>
      </c>
      <c r="C320">
        <f>_xll.BDP("MO UN Equity","LAST_PRICE")</f>
        <v>55.86</v>
      </c>
      <c r="D320">
        <f>_xll.BDP("MO UN Equity","LAST_PRICE")</f>
        <v>55.86</v>
      </c>
      <c r="E320">
        <f>_xll.BDP("MO UN Equity","LAST_PRICE")</f>
        <v>55.86</v>
      </c>
      <c r="F320">
        <f>_xll.BDP("MO UN Equity","RT_PX_CHG_PCT_1D")</f>
        <v>-2.5471000671386719</v>
      </c>
      <c r="G320">
        <f>_xll.BDP("MO UN Equity","REALTIME_5_DAY_CHANGE_PERCENT")</f>
        <v>-2.3085</v>
      </c>
      <c r="H320">
        <f>_xll.BDP("MO UN Equity","CHG_PCT_1M_RT")</f>
        <v>3.3488000000000002</v>
      </c>
      <c r="I320">
        <f>_xll.BDP("MO UN Equity","CHG_PCT_3M_RT")</f>
        <v>3.1960000000000002</v>
      </c>
      <c r="J320">
        <f>_xll.BDP("MO UN Equity","CHG_PCT_YTD_RT")</f>
        <v>38.472999999999999</v>
      </c>
    </row>
    <row r="321" spans="1:10" x14ac:dyDescent="0.25">
      <c r="A321" t="s">
        <v>328</v>
      </c>
      <c r="B321">
        <f>_xll.BDP("MOH UN Equity","LAST_PRICE")</f>
        <v>306.54000000000002</v>
      </c>
      <c r="C321">
        <f>_xll.BDP("MOH UN Equity","LAST_PRICE")</f>
        <v>306.54000000000002</v>
      </c>
      <c r="D321">
        <f>_xll.BDP("MOH UN Equity","LAST_PRICE")</f>
        <v>306.54000000000002</v>
      </c>
      <c r="E321">
        <f>_xll.BDP("MOH UN Equity","LAST_PRICE")</f>
        <v>306.54000000000002</v>
      </c>
      <c r="F321">
        <f>_xll.BDP("MOH UN Equity","RT_PX_CHG_PCT_1D")</f>
        <v>3.9154000282287598</v>
      </c>
      <c r="G321">
        <f>_xll.BDP("MOH UN Equity","REALTIME_5_DAY_CHANGE_PERCENT")</f>
        <v>1.5469999999999999</v>
      </c>
      <c r="H321">
        <f>_xll.BDP("MOH UN Equity","CHG_PCT_1M_RT")</f>
        <v>-7.0105000000000004</v>
      </c>
      <c r="I321">
        <f>_xll.BDP("MOH UN Equity","CHG_PCT_3M_RT")</f>
        <v>-5.3071000000000002</v>
      </c>
      <c r="J321">
        <f>_xll.BDP("MOH UN Equity","CHG_PCT_YTD_RT")</f>
        <v>-15.1587</v>
      </c>
    </row>
    <row r="322" spans="1:10" x14ac:dyDescent="0.25">
      <c r="A322" t="s">
        <v>329</v>
      </c>
      <c r="B322">
        <f>_xll.BDP("MOS UN Equity","LAST_PRICE")</f>
        <v>26.01</v>
      </c>
      <c r="C322">
        <f>_xll.BDP("MOS UN Equity","LAST_PRICE")</f>
        <v>26.01</v>
      </c>
      <c r="D322">
        <f>_xll.BDP("MOS UN Equity","LAST_PRICE")</f>
        <v>26.01</v>
      </c>
      <c r="E322">
        <f>_xll.BDP("MOS UN Equity","LAST_PRICE")</f>
        <v>26.01</v>
      </c>
      <c r="F322">
        <f>_xll.BDP("MOS UN Equity","RT_PX_CHG_PCT_1D")</f>
        <v>1.6809999942779541</v>
      </c>
      <c r="G322">
        <f>_xll.BDP("MOS UN Equity","REALTIME_5_DAY_CHANGE_PERCENT")</f>
        <v>-5.6924999999999999</v>
      </c>
      <c r="H322">
        <f>_xll.BDP("MOS UN Equity","CHG_PCT_1M_RT")</f>
        <v>-6.2027000000000001</v>
      </c>
      <c r="I322">
        <f>_xll.BDP("MOS UN Equity","CHG_PCT_3M_RT")</f>
        <v>3.7909000000000002</v>
      </c>
      <c r="J322">
        <f>_xll.BDP("MOS UN Equity","CHG_PCT_YTD_RT")</f>
        <v>-27.204000000000001</v>
      </c>
    </row>
    <row r="323" spans="1:10" x14ac:dyDescent="0.25">
      <c r="A323" t="s">
        <v>330</v>
      </c>
      <c r="B323">
        <f>_xll.BDP("MPC UN Equity","LAST_PRICE")</f>
        <v>152.97999999999999</v>
      </c>
      <c r="C323">
        <f>_xll.BDP("MPC UN Equity","LAST_PRICE")</f>
        <v>152.97999999999999</v>
      </c>
      <c r="D323">
        <f>_xll.BDP("MPC UN Equity","LAST_PRICE")</f>
        <v>152.97999999999999</v>
      </c>
      <c r="E323">
        <f>_xll.BDP("MPC UN Equity","LAST_PRICE")</f>
        <v>152.97999999999999</v>
      </c>
      <c r="F323">
        <f>_xll.BDP("MPC UN Equity","RT_PX_CHG_PCT_1D")</f>
        <v>1.3515000343322754</v>
      </c>
      <c r="G323">
        <f>_xll.BDP("MPC UN Equity","REALTIME_5_DAY_CHANGE_PERCENT")</f>
        <v>-2.8142999999999998</v>
      </c>
      <c r="H323">
        <f>_xll.BDP("MPC UN Equity","CHG_PCT_1M_RT")</f>
        <v>-0.50080000000000002</v>
      </c>
      <c r="I323">
        <f>_xll.BDP("MPC UN Equity","CHG_PCT_3M_RT")</f>
        <v>-6.2910000000000004</v>
      </c>
      <c r="J323">
        <f>_xll.BDP("MPC UN Equity","CHG_PCT_YTD_RT")</f>
        <v>3.1139999999999999</v>
      </c>
    </row>
    <row r="324" spans="1:10" x14ac:dyDescent="0.25">
      <c r="A324" t="s">
        <v>331</v>
      </c>
      <c r="B324">
        <f>_xll.BDP("MPWR UW Equity","LAST_PRICE")</f>
        <v>609.66999999999996</v>
      </c>
      <c r="C324">
        <f>_xll.BDP("MPWR UW Equity","LAST_PRICE")</f>
        <v>609.66999999999996</v>
      </c>
      <c r="D324">
        <f>_xll.BDP("MPWR UW Equity","LAST_PRICE")</f>
        <v>609.66999999999996</v>
      </c>
      <c r="E324">
        <f>_xll.BDP("MPWR UW Equity","LAST_PRICE")</f>
        <v>609.66999999999996</v>
      </c>
      <c r="F324">
        <f>_xll.BDP("MPWR UW Equity","RT_PX_CHG_PCT_1D")</f>
        <v>3.3900001049041748</v>
      </c>
      <c r="G324">
        <f>_xll.BDP("MPWR UW Equity","REALTIME_5_DAY_CHANGE_PERCENT")</f>
        <v>5.0521000000000003</v>
      </c>
      <c r="H324">
        <f>_xll.BDP("MPWR UW Equity","CHG_PCT_1M_RT")</f>
        <v>-19.917200000000001</v>
      </c>
      <c r="I324">
        <f>_xll.BDP("MPWR UW Equity","CHG_PCT_3M_RT")</f>
        <v>-27.073799999999999</v>
      </c>
      <c r="J324">
        <f>_xll.BDP("MPWR UW Equity","CHG_PCT_YTD_RT")</f>
        <v>-3.3466999999999998</v>
      </c>
    </row>
    <row r="325" spans="1:10" x14ac:dyDescent="0.25">
      <c r="A325" t="s">
        <v>332</v>
      </c>
      <c r="B325">
        <f>_xll.BDP("MRK UN Equity","LAST_PRICE")</f>
        <v>103.79</v>
      </c>
      <c r="C325">
        <f>_xll.BDP("MRK UN Equity","LAST_PRICE")</f>
        <v>103.79</v>
      </c>
      <c r="D325">
        <f>_xll.BDP("MRK UN Equity","LAST_PRICE")</f>
        <v>103.79</v>
      </c>
      <c r="E325">
        <f>_xll.BDP("MRK UN Equity","LAST_PRICE")</f>
        <v>103.79</v>
      </c>
      <c r="F325">
        <f>_xll.BDP("MRK UN Equity","RT_PX_CHG_PCT_1D")</f>
        <v>0.67900002002716064</v>
      </c>
      <c r="G325">
        <f>_xll.BDP("MRK UN Equity","REALTIME_5_DAY_CHANGE_PERCENT")</f>
        <v>3.1606999999999998</v>
      </c>
      <c r="H325">
        <f>_xll.BDP("MRK UN Equity","CHG_PCT_1M_RT")</f>
        <v>0.84530000000000005</v>
      </c>
      <c r="I325">
        <f>_xll.BDP("MRK UN Equity","CHG_PCT_3M_RT")</f>
        <v>-10.0685</v>
      </c>
      <c r="J325">
        <f>_xll.BDP("MRK UN Equity","CHG_PCT_YTD_RT")</f>
        <v>-4.7972999999999999</v>
      </c>
    </row>
    <row r="326" spans="1:10" x14ac:dyDescent="0.25">
      <c r="A326" t="s">
        <v>333</v>
      </c>
      <c r="B326">
        <f>_xll.BDP("MRNA UW Equity","LAST_PRICE")</f>
        <v>45.65</v>
      </c>
      <c r="C326">
        <f>_xll.BDP("MRNA UW Equity","LAST_PRICE")</f>
        <v>45.65</v>
      </c>
      <c r="D326">
        <f>_xll.BDP("MRNA UW Equity","LAST_PRICE")</f>
        <v>45.65</v>
      </c>
      <c r="E326">
        <f>_xll.BDP("MRNA UW Equity","LAST_PRICE")</f>
        <v>45.65</v>
      </c>
      <c r="F326">
        <f>_xll.BDP("MRNA UW Equity","RT_PX_CHG_PCT_1D")</f>
        <v>2.7228000164031982</v>
      </c>
      <c r="G326">
        <f>_xll.BDP("MRNA UW Equity","REALTIME_5_DAY_CHANGE_PERCENT")</f>
        <v>3.1404999999999998</v>
      </c>
      <c r="H326">
        <f>_xll.BDP("MRNA UW Equity","CHG_PCT_1M_RT")</f>
        <v>-2.5198</v>
      </c>
      <c r="I326">
        <f>_xll.BDP("MRNA UW Equity","CHG_PCT_3M_RT")</f>
        <v>-40.412500000000001</v>
      </c>
      <c r="J326">
        <f>_xll.BDP("MRNA UW Equity","CHG_PCT_YTD_RT")</f>
        <v>-54.097499999999997</v>
      </c>
    </row>
    <row r="327" spans="1:10" x14ac:dyDescent="0.25">
      <c r="A327" t="s">
        <v>334</v>
      </c>
      <c r="B327">
        <f>_xll.BDP("MS UN Equity","LAST_PRICE")</f>
        <v>128.58000000000001</v>
      </c>
      <c r="C327">
        <f>_xll.BDP("MS UN Equity","LAST_PRICE")</f>
        <v>128.58000000000001</v>
      </c>
      <c r="D327">
        <f>_xll.BDP("MS UN Equity","LAST_PRICE")</f>
        <v>128.58000000000001</v>
      </c>
      <c r="E327">
        <f>_xll.BDP("MS UN Equity","LAST_PRICE")</f>
        <v>128.58000000000001</v>
      </c>
      <c r="F327">
        <f>_xll.BDP("MS UN Equity","RT_PX_CHG_PCT_1D")</f>
        <v>-1.0619000196456909</v>
      </c>
      <c r="G327">
        <f>_xll.BDP("MS UN Equity","REALTIME_5_DAY_CHANGE_PERCENT")</f>
        <v>-1.8697999999999999</v>
      </c>
      <c r="H327">
        <f>_xll.BDP("MS UN Equity","CHG_PCT_1M_RT")</f>
        <v>-0.73340000000000005</v>
      </c>
      <c r="I327">
        <f>_xll.BDP("MS UN Equity","CHG_PCT_3M_RT")</f>
        <v>30.9635</v>
      </c>
      <c r="J327">
        <f>_xll.BDP("MS UN Equity","CHG_PCT_YTD_RT")</f>
        <v>37.8874</v>
      </c>
    </row>
    <row r="328" spans="1:10" x14ac:dyDescent="0.25">
      <c r="A328" t="s">
        <v>335</v>
      </c>
      <c r="B328">
        <f>_xll.BDP("MSCI UN Equity","LAST_PRICE")</f>
        <v>618.5</v>
      </c>
      <c r="C328">
        <f>_xll.BDP("MSCI UN Equity","LAST_PRICE")</f>
        <v>618.5</v>
      </c>
      <c r="D328">
        <f>_xll.BDP("MSCI UN Equity","LAST_PRICE")</f>
        <v>618.5</v>
      </c>
      <c r="E328">
        <f>_xll.BDP("MSCI UN Equity","LAST_PRICE")</f>
        <v>618.5</v>
      </c>
      <c r="F328">
        <f>_xll.BDP("MSCI UN Equity","RT_PX_CHG_PCT_1D")</f>
        <v>0.21389999985694885</v>
      </c>
      <c r="G328">
        <f>_xll.BDP("MSCI UN Equity","REALTIME_5_DAY_CHANGE_PERCENT")</f>
        <v>1.5649</v>
      </c>
      <c r="H328">
        <f>_xll.BDP("MSCI UN Equity","CHG_PCT_1M_RT")</f>
        <v>4.1246</v>
      </c>
      <c r="I328">
        <f>_xll.BDP("MSCI UN Equity","CHG_PCT_3M_RT")</f>
        <v>10.774800000000001</v>
      </c>
      <c r="J328">
        <f>_xll.BDP("MSCI UN Equity","CHG_PCT_YTD_RT")</f>
        <v>9.3431999999999995</v>
      </c>
    </row>
    <row r="329" spans="1:10" x14ac:dyDescent="0.25">
      <c r="A329" t="s">
        <v>336</v>
      </c>
      <c r="B329">
        <f>_xll.BDP("MSFT UW Equity","LAST_PRICE")</f>
        <v>446.02</v>
      </c>
      <c r="C329">
        <f>_xll.BDP("MSFT UW Equity","LAST_PRICE")</f>
        <v>446.02</v>
      </c>
      <c r="D329">
        <f>_xll.BDP("MSFT UW Equity","LAST_PRICE")</f>
        <v>446.02</v>
      </c>
      <c r="E329">
        <f>_xll.BDP("MSFT UW Equity","LAST_PRICE")</f>
        <v>446.02</v>
      </c>
      <c r="F329">
        <f>_xll.BDP("MSFT UW Equity","RT_PX_CHG_PCT_1D")</f>
        <v>0.55229997634887695</v>
      </c>
      <c r="G329">
        <f>_xll.BDP("MSFT UW Equity","REALTIME_5_DAY_CHANGE_PERCENT")</f>
        <v>3.4897</v>
      </c>
      <c r="H329">
        <f>_xll.BDP("MSFT UW Equity","CHG_PCT_1M_RT")</f>
        <v>5.5568999999999997</v>
      </c>
      <c r="I329">
        <f>_xll.BDP("MSFT UW Equity","CHG_PCT_3M_RT")</f>
        <v>9.9329999999999998</v>
      </c>
      <c r="J329">
        <f>_xll.BDP("MSFT UW Equity","CHG_PCT_YTD_RT")</f>
        <v>18.6097</v>
      </c>
    </row>
    <row r="330" spans="1:10" x14ac:dyDescent="0.25">
      <c r="A330" t="s">
        <v>337</v>
      </c>
      <c r="B330">
        <f>_xll.BDP("MSI UN Equity","LAST_PRICE")</f>
        <v>478.91</v>
      </c>
      <c r="C330">
        <f>_xll.BDP("MSI UN Equity","LAST_PRICE")</f>
        <v>478.91</v>
      </c>
      <c r="D330">
        <f>_xll.BDP("MSI UN Equity","LAST_PRICE")</f>
        <v>478.91</v>
      </c>
      <c r="E330">
        <f>_xll.BDP("MSI UN Equity","LAST_PRICE")</f>
        <v>478.91</v>
      </c>
      <c r="F330">
        <f>_xll.BDP("MSI UN Equity","RT_PX_CHG_PCT_1D")</f>
        <v>-2.2553000450134277</v>
      </c>
      <c r="G330">
        <f>_xll.BDP("MSI UN Equity","REALTIME_5_DAY_CHANGE_PERCENT")</f>
        <v>-3.5815999999999999</v>
      </c>
      <c r="H330">
        <f>_xll.BDP("MSI UN Equity","CHG_PCT_1M_RT")</f>
        <v>-5.0911999999999997</v>
      </c>
      <c r="I330">
        <f>_xll.BDP("MSI UN Equity","CHG_PCT_3M_RT")</f>
        <v>9.1234000000000002</v>
      </c>
      <c r="J330">
        <f>_xll.BDP("MSI UN Equity","CHG_PCT_YTD_RT")</f>
        <v>52.962400000000002</v>
      </c>
    </row>
    <row r="331" spans="1:10" x14ac:dyDescent="0.25">
      <c r="A331" t="s">
        <v>338</v>
      </c>
      <c r="B331">
        <f>_xll.BDP("MTB UN Equity","LAST_PRICE")</f>
        <v>206.73</v>
      </c>
      <c r="C331">
        <f>_xll.BDP("MTB UN Equity","LAST_PRICE")</f>
        <v>206.73</v>
      </c>
      <c r="D331">
        <f>_xll.BDP("MTB UN Equity","LAST_PRICE")</f>
        <v>206.73</v>
      </c>
      <c r="E331">
        <f>_xll.BDP("MTB UN Equity","LAST_PRICE")</f>
        <v>206.73</v>
      </c>
      <c r="F331">
        <f>_xll.BDP("MTB UN Equity","RT_PX_CHG_PCT_1D")</f>
        <v>-2.1442999839782715</v>
      </c>
      <c r="G331">
        <f>_xll.BDP("MTB UN Equity","REALTIME_5_DAY_CHANGE_PERCENT")</f>
        <v>-4.1540999999999997</v>
      </c>
      <c r="H331">
        <f>_xll.BDP("MTB UN Equity","CHG_PCT_1M_RT")</f>
        <v>-1.2798</v>
      </c>
      <c r="I331">
        <f>_xll.BDP("MTB UN Equity","CHG_PCT_3M_RT")</f>
        <v>22.4849</v>
      </c>
      <c r="J331">
        <f>_xll.BDP("MTB UN Equity","CHG_PCT_YTD_RT")</f>
        <v>50.809699999999999</v>
      </c>
    </row>
    <row r="332" spans="1:10" x14ac:dyDescent="0.25">
      <c r="A332" t="s">
        <v>339</v>
      </c>
      <c r="B332">
        <f>_xll.BDP("MTCH UW Equity","LAST_PRICE")</f>
        <v>33.39</v>
      </c>
      <c r="C332">
        <f>_xll.BDP("MTCH UW Equity","LAST_PRICE")</f>
        <v>33.39</v>
      </c>
      <c r="D332">
        <f>_xll.BDP("MTCH UW Equity","LAST_PRICE")</f>
        <v>33.39</v>
      </c>
      <c r="E332">
        <f>_xll.BDP("MTCH UW Equity","LAST_PRICE")</f>
        <v>33.39</v>
      </c>
      <c r="F332">
        <f>_xll.BDP("MTCH UW Equity","RT_PX_CHG_PCT_1D")</f>
        <v>1.3969000577926636</v>
      </c>
      <c r="G332">
        <f>_xll.BDP("MTCH UW Equity","REALTIME_5_DAY_CHANGE_PERCENT")</f>
        <v>0.57230000000000003</v>
      </c>
      <c r="H332">
        <f>_xll.BDP("MTCH UW Equity","CHG_PCT_1M_RT")</f>
        <v>9.2605000000000004</v>
      </c>
      <c r="I332">
        <f>_xll.BDP("MTCH UW Equity","CHG_PCT_3M_RT")</f>
        <v>-7.3272000000000004</v>
      </c>
      <c r="J332">
        <f>_xll.BDP("MTCH UW Equity","CHG_PCT_YTD_RT")</f>
        <v>-8.5205000000000002</v>
      </c>
    </row>
    <row r="333" spans="1:10" x14ac:dyDescent="0.25">
      <c r="A333" t="s">
        <v>340</v>
      </c>
      <c r="B333">
        <f>_xll.BDP("MTD UN Equity","LAST_PRICE")</f>
        <v>1281.69</v>
      </c>
      <c r="C333">
        <f>_xll.BDP("MTD UN Equity","LAST_PRICE")</f>
        <v>1281.69</v>
      </c>
      <c r="D333">
        <f>_xll.BDP("MTD UN Equity","LAST_PRICE")</f>
        <v>1281.69</v>
      </c>
      <c r="E333">
        <f>_xll.BDP("MTD UN Equity","LAST_PRICE")</f>
        <v>1281.69</v>
      </c>
      <c r="F333">
        <f>_xll.BDP("MTD UN Equity","RT_PX_CHG_PCT_1D")</f>
        <v>1.8896000385284424</v>
      </c>
      <c r="G333">
        <f>_xll.BDP("MTD UN Equity","REALTIME_5_DAY_CHANGE_PERCENT")</f>
        <v>1.8119000000000001</v>
      </c>
      <c r="H333">
        <f>_xll.BDP("MTD UN Equity","CHG_PCT_1M_RT")</f>
        <v>-2.1633</v>
      </c>
      <c r="I333">
        <f>_xll.BDP("MTD UN Equity","CHG_PCT_3M_RT")</f>
        <v>-7.4438000000000004</v>
      </c>
      <c r="J333">
        <f>_xll.BDP("MTD UN Equity","CHG_PCT_YTD_RT")</f>
        <v>5.6662999999999997</v>
      </c>
    </row>
    <row r="334" spans="1:10" x14ac:dyDescent="0.25">
      <c r="A334" t="s">
        <v>341</v>
      </c>
      <c r="B334">
        <f>_xll.BDP("MU UW Equity","LAST_PRICE")</f>
        <v>102.82</v>
      </c>
      <c r="C334">
        <f>_xll.BDP("MU UW Equity","LAST_PRICE")</f>
        <v>102.82</v>
      </c>
      <c r="D334">
        <f>_xll.BDP("MU UW Equity","LAST_PRICE")</f>
        <v>102.82</v>
      </c>
      <c r="E334">
        <f>_xll.BDP("MU UW Equity","LAST_PRICE")</f>
        <v>102.82</v>
      </c>
      <c r="F334">
        <f>_xll.BDP("MU UW Equity","RT_PX_CHG_PCT_1D")</f>
        <v>1.6309000253677368</v>
      </c>
      <c r="G334">
        <f>_xll.BDP("MU UW Equity","REALTIME_5_DAY_CHANGE_PERCENT")</f>
        <v>4.3327999999999998</v>
      </c>
      <c r="H334">
        <f>_xll.BDP("MU UW Equity","CHG_PCT_1M_RT")</f>
        <v>-8.1143999999999998</v>
      </c>
      <c r="I334">
        <f>_xll.BDP("MU UW Equity","CHG_PCT_3M_RT")</f>
        <v>19.184000000000001</v>
      </c>
      <c r="J334">
        <f>_xll.BDP("MU UW Equity","CHG_PCT_YTD_RT")</f>
        <v>20.482800000000001</v>
      </c>
    </row>
    <row r="335" spans="1:10" x14ac:dyDescent="0.25">
      <c r="A335" t="s">
        <v>342</v>
      </c>
      <c r="B335">
        <f>_xll.BDP("NCLH UN Equity","LAST_PRICE")</f>
        <v>25.96</v>
      </c>
      <c r="C335">
        <f>_xll.BDP("NCLH UN Equity","LAST_PRICE")</f>
        <v>25.96</v>
      </c>
      <c r="D335">
        <f>_xll.BDP("NCLH UN Equity","LAST_PRICE")</f>
        <v>25.96</v>
      </c>
      <c r="E335">
        <f>_xll.BDP("NCLH UN Equity","LAST_PRICE")</f>
        <v>25.96</v>
      </c>
      <c r="F335">
        <f>_xll.BDP("NCLH UN Equity","RT_PX_CHG_PCT_1D")</f>
        <v>-6.1121001243591309</v>
      </c>
      <c r="G335">
        <f>_xll.BDP("NCLH UN Equity","REALTIME_5_DAY_CHANGE_PERCENT")</f>
        <v>-8.4303000000000008</v>
      </c>
      <c r="H335">
        <f>_xll.BDP("NCLH UN Equity","CHG_PCT_1M_RT")</f>
        <v>-4.9779999999999998</v>
      </c>
      <c r="I335">
        <f>_xll.BDP("NCLH UN Equity","CHG_PCT_3M_RT")</f>
        <v>48.3429</v>
      </c>
      <c r="J335">
        <f>_xll.BDP("NCLH UN Equity","CHG_PCT_YTD_RT")</f>
        <v>29.540900000000001</v>
      </c>
    </row>
    <row r="336" spans="1:10" x14ac:dyDescent="0.25">
      <c r="A336" t="s">
        <v>343</v>
      </c>
      <c r="B336">
        <f>_xll.BDP("NDAQ UW Equity","LAST_PRICE")</f>
        <v>79.7</v>
      </c>
      <c r="C336">
        <f>_xll.BDP("NDAQ UW Equity","LAST_PRICE")</f>
        <v>79.7</v>
      </c>
      <c r="D336">
        <f>_xll.BDP("NDAQ UW Equity","LAST_PRICE")</f>
        <v>79.7</v>
      </c>
      <c r="E336">
        <f>_xll.BDP("NDAQ UW Equity","LAST_PRICE")</f>
        <v>79.7</v>
      </c>
      <c r="F336">
        <f>_xll.BDP("NDAQ UW Equity","RT_PX_CHG_PCT_1D")</f>
        <v>-1.7747000455856323</v>
      </c>
      <c r="G336">
        <f>_xll.BDP("NDAQ UW Equity","REALTIME_5_DAY_CHANGE_PERCENT")</f>
        <v>-2.3881999999999999</v>
      </c>
      <c r="H336">
        <f>_xll.BDP("NDAQ UW Equity","CHG_PCT_1M_RT")</f>
        <v>1.2835000000000001</v>
      </c>
      <c r="I336">
        <f>_xll.BDP("NDAQ UW Equity","CHG_PCT_3M_RT")</f>
        <v>11.235200000000001</v>
      </c>
      <c r="J336">
        <f>_xll.BDP("NDAQ UW Equity","CHG_PCT_YTD_RT")</f>
        <v>37.082900000000002</v>
      </c>
    </row>
    <row r="337" spans="1:10" x14ac:dyDescent="0.25">
      <c r="A337" t="s">
        <v>344</v>
      </c>
      <c r="B337">
        <f>_xll.BDP("NDSN UW Equity","LAST_PRICE")</f>
        <v>255.43</v>
      </c>
      <c r="C337">
        <f>_xll.BDP("NDSN UW Equity","LAST_PRICE")</f>
        <v>255.43</v>
      </c>
      <c r="D337">
        <f>_xll.BDP("NDSN UW Equity","LAST_PRICE")</f>
        <v>255.43</v>
      </c>
      <c r="E337">
        <f>_xll.BDP("NDSN UW Equity","LAST_PRICE")</f>
        <v>255.43</v>
      </c>
      <c r="F337">
        <f>_xll.BDP("NDSN UW Equity","RT_PX_CHG_PCT_1D")</f>
        <v>0.40490001440048218</v>
      </c>
      <c r="G337">
        <f>_xll.BDP("NDSN UW Equity","REALTIME_5_DAY_CHANGE_PERCENT")</f>
        <v>-1.4355</v>
      </c>
      <c r="H337">
        <f>_xll.BDP("NDSN UW Equity","CHG_PCT_1M_RT")</f>
        <v>-2.2988</v>
      </c>
      <c r="I337">
        <f>_xll.BDP("NDSN UW Equity","CHG_PCT_3M_RT")</f>
        <v>3.2625000000000002</v>
      </c>
      <c r="J337">
        <f>_xll.BDP("NDSN UW Equity","CHG_PCT_YTD_RT")</f>
        <v>-3.3048000000000002</v>
      </c>
    </row>
    <row r="338" spans="1:10" x14ac:dyDescent="0.25">
      <c r="A338" t="s">
        <v>345</v>
      </c>
      <c r="B338">
        <f>_xll.BDP("NEE UN Equity","LAST_PRICE")</f>
        <v>74.7</v>
      </c>
      <c r="C338">
        <f>_xll.BDP("NEE UN Equity","LAST_PRICE")</f>
        <v>74.7</v>
      </c>
      <c r="D338">
        <f>_xll.BDP("NEE UN Equity","LAST_PRICE")</f>
        <v>74.7</v>
      </c>
      <c r="E338">
        <f>_xll.BDP("NEE UN Equity","LAST_PRICE")</f>
        <v>74.7</v>
      </c>
      <c r="F338">
        <f>_xll.BDP("NEE UN Equity","RT_PX_CHG_PCT_1D")</f>
        <v>-0.71770000457763672</v>
      </c>
      <c r="G338">
        <f>_xll.BDP("NEE UN Equity","REALTIME_5_DAY_CHANGE_PERCENT")</f>
        <v>-3.0750999999999999</v>
      </c>
      <c r="H338">
        <f>_xll.BDP("NEE UN Equity","CHG_PCT_1M_RT")</f>
        <v>-2.9491999999999998</v>
      </c>
      <c r="I338">
        <f>_xll.BDP("NEE UN Equity","CHG_PCT_3M_RT")</f>
        <v>-7.9935999999999998</v>
      </c>
      <c r="J338">
        <f>_xll.BDP("NEE UN Equity","CHG_PCT_YTD_RT")</f>
        <v>22.9832</v>
      </c>
    </row>
    <row r="339" spans="1:10" x14ac:dyDescent="0.25">
      <c r="A339" t="s">
        <v>346</v>
      </c>
      <c r="B339">
        <f>_xll.BDP("NEM UN Equity","LAST_PRICE")</f>
        <v>41.73</v>
      </c>
      <c r="C339">
        <f>_xll.BDP("NEM UN Equity","LAST_PRICE")</f>
        <v>41.73</v>
      </c>
      <c r="D339">
        <f>_xll.BDP("NEM UN Equity","LAST_PRICE")</f>
        <v>41.73</v>
      </c>
      <c r="E339">
        <f>_xll.BDP("NEM UN Equity","LAST_PRICE")</f>
        <v>41.73</v>
      </c>
      <c r="F339">
        <f>_xll.BDP("NEM UN Equity","RT_PX_CHG_PCT_1D")</f>
        <v>1.5081000328063965</v>
      </c>
      <c r="G339">
        <f>_xll.BDP("NEM UN Equity","REALTIME_5_DAY_CHANGE_PERCENT")</f>
        <v>2.0044</v>
      </c>
      <c r="H339">
        <f>_xll.BDP("NEM UN Equity","CHG_PCT_1M_RT")</f>
        <v>-7.3490000000000002</v>
      </c>
      <c r="I339">
        <f>_xll.BDP("NEM UN Equity","CHG_PCT_3M_RT")</f>
        <v>-17.724799999999998</v>
      </c>
      <c r="J339">
        <f>_xll.BDP("NEM UN Equity","CHG_PCT_YTD_RT")</f>
        <v>0.82150000000000001</v>
      </c>
    </row>
    <row r="340" spans="1:10" x14ac:dyDescent="0.25">
      <c r="A340" t="s">
        <v>347</v>
      </c>
      <c r="B340">
        <f>_xll.BDP("NFLX UW Equity","LAST_PRICE")</f>
        <v>913.69</v>
      </c>
      <c r="C340">
        <f>_xll.BDP("NFLX UW Equity","LAST_PRICE")</f>
        <v>913.69</v>
      </c>
      <c r="D340">
        <f>_xll.BDP("NFLX UW Equity","LAST_PRICE")</f>
        <v>913.69</v>
      </c>
      <c r="E340">
        <f>_xll.BDP("NFLX UW Equity","LAST_PRICE")</f>
        <v>913.69</v>
      </c>
      <c r="F340">
        <f>_xll.BDP("NFLX UW Equity","RT_PX_CHG_PCT_1D")</f>
        <v>-2.252000093460083</v>
      </c>
      <c r="G340">
        <f>_xll.BDP("NFLX UW Equity","REALTIME_5_DAY_CHANGE_PERCENT")</f>
        <v>1.7766999999999999</v>
      </c>
      <c r="H340">
        <f>_xll.BDP("NFLX UW Equity","CHG_PCT_1M_RT")</f>
        <v>14.9238</v>
      </c>
      <c r="I340">
        <f>_xll.BDP("NFLX UW Equity","CHG_PCT_3M_RT")</f>
        <v>35.277299999999997</v>
      </c>
      <c r="J340">
        <f>_xll.BDP("NFLX UW Equity","CHG_PCT_YTD_RT")</f>
        <v>87.662300000000002</v>
      </c>
    </row>
    <row r="341" spans="1:10" x14ac:dyDescent="0.25">
      <c r="A341" t="s">
        <v>348</v>
      </c>
      <c r="B341">
        <f>_xll.BDP("NI UN Equity","LAST_PRICE")</f>
        <v>36.61</v>
      </c>
      <c r="C341">
        <f>_xll.BDP("NI UN Equity","LAST_PRICE")</f>
        <v>36.61</v>
      </c>
      <c r="D341">
        <f>_xll.BDP("NI UN Equity","LAST_PRICE")</f>
        <v>36.61</v>
      </c>
      <c r="E341">
        <f>_xll.BDP("NI UN Equity","LAST_PRICE")</f>
        <v>36.61</v>
      </c>
      <c r="F341">
        <f>_xll.BDP("NI UN Equity","RT_PX_CHG_PCT_1D")</f>
        <v>-1.2142000198364258</v>
      </c>
      <c r="G341">
        <f>_xll.BDP("NI UN Equity","REALTIME_5_DAY_CHANGE_PERCENT")</f>
        <v>-1.9813000000000001</v>
      </c>
      <c r="H341">
        <f>_xll.BDP("NI UN Equity","CHG_PCT_1M_RT")</f>
        <v>1.7793000000000001</v>
      </c>
      <c r="I341">
        <f>_xll.BDP("NI UN Equity","CHG_PCT_3M_RT")</f>
        <v>9.4468999999999994</v>
      </c>
      <c r="J341">
        <f>_xll.BDP("NI UN Equity","CHG_PCT_YTD_RT")</f>
        <v>37.890799999999999</v>
      </c>
    </row>
    <row r="342" spans="1:10" x14ac:dyDescent="0.25">
      <c r="A342" t="s">
        <v>349</v>
      </c>
      <c r="B342">
        <f>_xll.BDP("NKE UN Equity","LAST_PRICE")</f>
        <v>77.64</v>
      </c>
      <c r="C342">
        <f>_xll.BDP("NKE UN Equity","LAST_PRICE")</f>
        <v>77.64</v>
      </c>
      <c r="D342">
        <f>_xll.BDP("NKE UN Equity","LAST_PRICE")</f>
        <v>77.64</v>
      </c>
      <c r="E342">
        <f>_xll.BDP("NKE UN Equity","LAST_PRICE")</f>
        <v>77.64</v>
      </c>
      <c r="F342">
        <f>_xll.BDP("NKE UN Equity","RT_PX_CHG_PCT_1D")</f>
        <v>-1.5844999551773071</v>
      </c>
      <c r="G342">
        <f>_xll.BDP("NKE UN Equity","REALTIME_5_DAY_CHANGE_PERCENT")</f>
        <v>-1.8333999999999999</v>
      </c>
      <c r="H342">
        <f>_xll.BDP("NKE UN Equity","CHG_PCT_1M_RT")</f>
        <v>2.3195000000000001</v>
      </c>
      <c r="I342">
        <f>_xll.BDP("NKE UN Equity","CHG_PCT_3M_RT")</f>
        <v>-2.3273000000000001</v>
      </c>
      <c r="J342">
        <f>_xll.BDP("NKE UN Equity","CHG_PCT_YTD_RT")</f>
        <v>-28.488499999999998</v>
      </c>
    </row>
    <row r="343" spans="1:10" x14ac:dyDescent="0.25">
      <c r="A343" t="s">
        <v>350</v>
      </c>
      <c r="B343">
        <f>_xll.BDP("NOC UN Equity","LAST_PRICE")</f>
        <v>479.17</v>
      </c>
      <c r="C343">
        <f>_xll.BDP("NOC UN Equity","LAST_PRICE")</f>
        <v>479.17</v>
      </c>
      <c r="D343">
        <f>_xll.BDP("NOC UN Equity","LAST_PRICE")</f>
        <v>479.17</v>
      </c>
      <c r="E343">
        <f>_xll.BDP("NOC UN Equity","LAST_PRICE")</f>
        <v>479.17</v>
      </c>
      <c r="F343">
        <f>_xll.BDP("NOC UN Equity","RT_PX_CHG_PCT_1D")</f>
        <v>1.1654000282287598</v>
      </c>
      <c r="G343">
        <f>_xll.BDP("NOC UN Equity","REALTIME_5_DAY_CHANGE_PERCENT")</f>
        <v>-1.1511</v>
      </c>
      <c r="H343">
        <f>_xll.BDP("NOC UN Equity","CHG_PCT_1M_RT")</f>
        <v>-9.4178999999999995</v>
      </c>
      <c r="I343">
        <f>_xll.BDP("NOC UN Equity","CHG_PCT_3M_RT")</f>
        <v>-8.5920000000000005</v>
      </c>
      <c r="J343">
        <f>_xll.BDP("NOC UN Equity","CHG_PCT_YTD_RT")</f>
        <v>2.3561000000000001</v>
      </c>
    </row>
    <row r="344" spans="1:10" x14ac:dyDescent="0.25">
      <c r="A344" t="s">
        <v>351</v>
      </c>
      <c r="B344">
        <f>_xll.BDP("NOW UN Equity","LAST_PRICE")</f>
        <v>1120.48</v>
      </c>
      <c r="C344">
        <f>_xll.BDP("NOW UN Equity","LAST_PRICE")</f>
        <v>1120.48</v>
      </c>
      <c r="D344">
        <f>_xll.BDP("NOW UN Equity","LAST_PRICE")</f>
        <v>1120.48</v>
      </c>
      <c r="E344">
        <f>_xll.BDP("NOW UN Equity","LAST_PRICE")</f>
        <v>1120.48</v>
      </c>
      <c r="F344">
        <f>_xll.BDP("NOW UN Equity","RT_PX_CHG_PCT_1D")</f>
        <v>-0.34330001473426819</v>
      </c>
      <c r="G344">
        <f>_xll.BDP("NOW UN Equity","REALTIME_5_DAY_CHANGE_PERCENT")</f>
        <v>6.8722000000000003</v>
      </c>
      <c r="H344">
        <f>_xll.BDP("NOW UN Equity","CHG_PCT_1M_RT")</f>
        <v>11.149900000000001</v>
      </c>
      <c r="I344">
        <f>_xll.BDP("NOW UN Equity","CHG_PCT_3M_RT")</f>
        <v>30.961500000000001</v>
      </c>
      <c r="J344">
        <f>_xll.BDP("NOW UN Equity","CHG_PCT_YTD_RT")</f>
        <v>58.598100000000002</v>
      </c>
    </row>
    <row r="345" spans="1:10" x14ac:dyDescent="0.25">
      <c r="A345" t="s">
        <v>352</v>
      </c>
      <c r="B345">
        <f>_xll.BDP("NRG UN Equity","LAST_PRICE")</f>
        <v>96.07</v>
      </c>
      <c r="C345">
        <f>_xll.BDP("NRG UN Equity","LAST_PRICE")</f>
        <v>96.07</v>
      </c>
      <c r="D345">
        <f>_xll.BDP("NRG UN Equity","LAST_PRICE")</f>
        <v>96.07</v>
      </c>
      <c r="E345">
        <f>_xll.BDP("NRG UN Equity","LAST_PRICE")</f>
        <v>96.07</v>
      </c>
      <c r="F345">
        <f>_xll.BDP("NRG UN Equity","RT_PX_CHG_PCT_1D")</f>
        <v>-3.2137999534606934</v>
      </c>
      <c r="G345">
        <f>_xll.BDP("NRG UN Equity","REALTIME_5_DAY_CHANGE_PERCENT")</f>
        <v>-3.3500999999999999</v>
      </c>
      <c r="H345">
        <f>_xll.BDP("NRG UN Equity","CHG_PCT_1M_RT")</f>
        <v>-7.2800000000000004E-2</v>
      </c>
      <c r="I345">
        <f>_xll.BDP("NRG UN Equity","CHG_PCT_3M_RT")</f>
        <v>23.293099999999999</v>
      </c>
      <c r="J345">
        <f>_xll.BDP("NRG UN Equity","CHG_PCT_YTD_RT")</f>
        <v>85.822100000000006</v>
      </c>
    </row>
    <row r="346" spans="1:10" x14ac:dyDescent="0.25">
      <c r="A346" t="s">
        <v>353</v>
      </c>
      <c r="B346">
        <f>_xll.BDP("NSC UN Equity","LAST_PRICE")</f>
        <v>256.83999999999997</v>
      </c>
      <c r="C346">
        <f>_xll.BDP("NSC UN Equity","LAST_PRICE")</f>
        <v>256.83999999999997</v>
      </c>
      <c r="D346">
        <f>_xll.BDP("NSC UN Equity","LAST_PRICE")</f>
        <v>256.83999999999997</v>
      </c>
      <c r="E346">
        <f>_xll.BDP("NSC UN Equity","LAST_PRICE")</f>
        <v>256.83999999999997</v>
      </c>
      <c r="F346">
        <f>_xll.BDP("NSC UN Equity","RT_PX_CHG_PCT_1D")</f>
        <v>-1.5109000205993652</v>
      </c>
      <c r="G346">
        <f>_xll.BDP("NSC UN Equity","REALTIME_5_DAY_CHANGE_PERCENT")</f>
        <v>-5.8331999999999997</v>
      </c>
      <c r="H346">
        <f>_xll.BDP("NSC UN Equity","CHG_PCT_1M_RT")</f>
        <v>-5.4588000000000001</v>
      </c>
      <c r="I346">
        <f>_xll.BDP("NSC UN Equity","CHG_PCT_3M_RT")</f>
        <v>1.17E-2</v>
      </c>
      <c r="J346">
        <f>_xll.BDP("NSC UN Equity","CHG_PCT_YTD_RT")</f>
        <v>8.6555999999999997</v>
      </c>
    </row>
    <row r="347" spans="1:10" x14ac:dyDescent="0.25">
      <c r="A347" t="s">
        <v>354</v>
      </c>
      <c r="B347">
        <f>_xll.BDP("NTAP UW Equity","LAST_PRICE")</f>
        <v>127.6</v>
      </c>
      <c r="C347">
        <f>_xll.BDP("NTAP UW Equity","LAST_PRICE")</f>
        <v>127.6</v>
      </c>
      <c r="D347">
        <f>_xll.BDP("NTAP UW Equity","LAST_PRICE")</f>
        <v>127.6</v>
      </c>
      <c r="E347">
        <f>_xll.BDP("NTAP UW Equity","LAST_PRICE")</f>
        <v>127.6</v>
      </c>
      <c r="F347">
        <f>_xll.BDP("NTAP UW Equity","RT_PX_CHG_PCT_1D")</f>
        <v>-2.6770999431610107</v>
      </c>
      <c r="G347">
        <f>_xll.BDP("NTAP UW Equity","REALTIME_5_DAY_CHANGE_PERCENT")</f>
        <v>3.4958</v>
      </c>
      <c r="H347">
        <f>_xll.BDP("NTAP UW Equity","CHG_PCT_1M_RT")</f>
        <v>2.8948999999999998</v>
      </c>
      <c r="I347">
        <f>_xll.BDP("NTAP UW Equity","CHG_PCT_3M_RT")</f>
        <v>11.3438</v>
      </c>
      <c r="J347">
        <f>_xll.BDP("NTAP UW Equity","CHG_PCT_YTD_RT")</f>
        <v>44.736800000000002</v>
      </c>
    </row>
    <row r="348" spans="1:10" x14ac:dyDescent="0.25">
      <c r="A348" t="s">
        <v>355</v>
      </c>
      <c r="B348">
        <f>_xll.BDP("NTRS UW Equity","LAST_PRICE")</f>
        <v>108.6</v>
      </c>
      <c r="C348">
        <f>_xll.BDP("NTRS UW Equity","LAST_PRICE")</f>
        <v>108.6</v>
      </c>
      <c r="D348">
        <f>_xll.BDP("NTRS UW Equity","LAST_PRICE")</f>
        <v>108.6</v>
      </c>
      <c r="E348">
        <f>_xll.BDP("NTRS UW Equity","LAST_PRICE")</f>
        <v>108.6</v>
      </c>
      <c r="F348">
        <f>_xll.BDP("NTRS UW Equity","RT_PX_CHG_PCT_1D")</f>
        <v>0.63010001182556152</v>
      </c>
      <c r="G348">
        <f>_xll.BDP("NTRS UW Equity","REALTIME_5_DAY_CHANGE_PERCENT")</f>
        <v>-1.1738999999999999</v>
      </c>
      <c r="H348">
        <f>_xll.BDP("NTRS UW Equity","CHG_PCT_1M_RT")</f>
        <v>3.2515999999999998</v>
      </c>
      <c r="I348">
        <f>_xll.BDP("NTRS UW Equity","CHG_PCT_3M_RT")</f>
        <v>23.746600000000001</v>
      </c>
      <c r="J348">
        <f>_xll.BDP("NTRS UW Equity","CHG_PCT_YTD_RT")</f>
        <v>28.703499999999998</v>
      </c>
    </row>
    <row r="349" spans="1:10" x14ac:dyDescent="0.25">
      <c r="A349" t="s">
        <v>356</v>
      </c>
      <c r="B349">
        <f>_xll.BDP("NUE UN Equity","LAST_PRICE")</f>
        <v>144.58000000000001</v>
      </c>
      <c r="C349">
        <f>_xll.BDP("NUE UN Equity","LAST_PRICE")</f>
        <v>144.58000000000001</v>
      </c>
      <c r="D349">
        <f>_xll.BDP("NUE UN Equity","LAST_PRICE")</f>
        <v>144.58000000000001</v>
      </c>
      <c r="E349">
        <f>_xll.BDP("NUE UN Equity","LAST_PRICE")</f>
        <v>144.58000000000001</v>
      </c>
      <c r="F349">
        <f>_xll.BDP("NUE UN Equity","RT_PX_CHG_PCT_1D")</f>
        <v>1.4098000526428223</v>
      </c>
      <c r="G349">
        <f>_xll.BDP("NUE UN Equity","REALTIME_5_DAY_CHANGE_PERCENT")</f>
        <v>-7.5397999999999996</v>
      </c>
      <c r="H349">
        <f>_xll.BDP("NUE UN Equity","CHG_PCT_1M_RT")</f>
        <v>-8.9776000000000007</v>
      </c>
      <c r="I349">
        <f>_xll.BDP("NUE UN Equity","CHG_PCT_3M_RT")</f>
        <v>2.5972</v>
      </c>
      <c r="J349">
        <f>_xll.BDP("NUE UN Equity","CHG_PCT_YTD_RT")</f>
        <v>-16.927099999999999</v>
      </c>
    </row>
    <row r="350" spans="1:10" x14ac:dyDescent="0.25">
      <c r="A350" t="s">
        <v>357</v>
      </c>
      <c r="B350">
        <f>_xll.BDP("NVDA UW Equity","LAST_PRICE")</f>
        <v>138.81</v>
      </c>
      <c r="C350">
        <f>_xll.BDP("NVDA UW Equity","LAST_PRICE")</f>
        <v>138.81</v>
      </c>
      <c r="D350">
        <f>_xll.BDP("NVDA UW Equity","LAST_PRICE")</f>
        <v>138.81</v>
      </c>
      <c r="E350">
        <f>_xll.BDP("NVDA UW Equity","LAST_PRICE")</f>
        <v>138.81</v>
      </c>
      <c r="F350">
        <f>_xll.BDP("NVDA UW Equity","RT_PX_CHG_PCT_1D")</f>
        <v>-2.5483999252319336</v>
      </c>
      <c r="G350">
        <f>_xll.BDP("NVDA UW Equity","REALTIME_5_DAY_CHANGE_PERCENT")</f>
        <v>0.1298</v>
      </c>
      <c r="H350">
        <f>_xll.BDP("NVDA UW Equity","CHG_PCT_1M_RT")</f>
        <v>-5.9744000000000002</v>
      </c>
      <c r="I350">
        <f>_xll.BDP("NVDA UW Equity","CHG_PCT_3M_RT")</f>
        <v>30.3748</v>
      </c>
      <c r="J350">
        <f>_xll.BDP("NVDA UW Equity","CHG_PCT_YTD_RT")</f>
        <v>180.2997</v>
      </c>
    </row>
    <row r="351" spans="1:10" x14ac:dyDescent="0.25">
      <c r="A351" t="s">
        <v>358</v>
      </c>
      <c r="B351">
        <f>_xll.BDP("NVR UN Equity","LAST_PRICE")</f>
        <v>9120.01</v>
      </c>
      <c r="C351">
        <f>_xll.BDP("NVR UN Equity","LAST_PRICE")</f>
        <v>9120.01</v>
      </c>
      <c r="D351">
        <f>_xll.BDP("NVR UN Equity","LAST_PRICE")</f>
        <v>9120.01</v>
      </c>
      <c r="E351">
        <f>_xll.BDP("NVR UN Equity","LAST_PRICE")</f>
        <v>9120.01</v>
      </c>
      <c r="F351">
        <f>_xll.BDP("NVR UN Equity","RT_PX_CHG_PCT_1D")</f>
        <v>1.9414000511169434</v>
      </c>
      <c r="G351">
        <f>_xll.BDP("NVR UN Equity","REALTIME_5_DAY_CHANGE_PERCENT")</f>
        <v>-0.65349999999999997</v>
      </c>
      <c r="H351">
        <f>_xll.BDP("NVR UN Equity","CHG_PCT_1M_RT")</f>
        <v>-2.0085000000000002</v>
      </c>
      <c r="I351">
        <f>_xll.BDP("NVR UN Equity","CHG_PCT_3M_RT")</f>
        <v>-0.32490000000000002</v>
      </c>
      <c r="J351">
        <f>_xll.BDP("NVR UN Equity","CHG_PCT_YTD_RT")</f>
        <v>30.2775</v>
      </c>
    </row>
    <row r="352" spans="1:10" x14ac:dyDescent="0.25">
      <c r="A352" t="s">
        <v>359</v>
      </c>
      <c r="B352">
        <f>_xll.BDP("NWS UW Equity","LAST_PRICE")</f>
        <v>32.369999999999997</v>
      </c>
      <c r="C352">
        <f>_xll.BDP("NWS UW Equity","LAST_PRICE")</f>
        <v>32.369999999999997</v>
      </c>
      <c r="D352">
        <f>_xll.BDP("NWS UW Equity","LAST_PRICE")</f>
        <v>32.369999999999997</v>
      </c>
      <c r="E352">
        <f>_xll.BDP("NWS UW Equity","LAST_PRICE")</f>
        <v>32.369999999999997</v>
      </c>
      <c r="F352">
        <f>_xll.BDP("NWS UW Equity","RT_PX_CHG_PCT_1D")</f>
        <v>0.2167000025510788</v>
      </c>
      <c r="G352">
        <f>_xll.BDP("NWS UW Equity","REALTIME_5_DAY_CHANGE_PERCENT")</f>
        <v>0.4032</v>
      </c>
      <c r="H352">
        <f>_xll.BDP("NWS UW Equity","CHG_PCT_1M_RT")</f>
        <v>0.46550000000000002</v>
      </c>
      <c r="I352">
        <f>_xll.BDP("NWS UW Equity","CHG_PCT_3M_RT")</f>
        <v>17.1129</v>
      </c>
      <c r="J352">
        <f>_xll.BDP("NWS UW Equity","CHG_PCT_YTD_RT")</f>
        <v>25.855399999999999</v>
      </c>
    </row>
    <row r="353" spans="1:10" x14ac:dyDescent="0.25">
      <c r="A353" t="s">
        <v>360</v>
      </c>
      <c r="B353">
        <f>_xll.BDP("NWSA UW Equity","LAST_PRICE")</f>
        <v>29.38</v>
      </c>
      <c r="C353">
        <f>_xll.BDP("NWSA UW Equity","LAST_PRICE")</f>
        <v>29.38</v>
      </c>
      <c r="D353">
        <f>_xll.BDP("NWSA UW Equity","LAST_PRICE")</f>
        <v>29.38</v>
      </c>
      <c r="E353">
        <f>_xll.BDP("NWSA UW Equity","LAST_PRICE")</f>
        <v>29.38</v>
      </c>
      <c r="F353">
        <f>_xll.BDP("NWSA UW Equity","RT_PX_CHG_PCT_1D")</f>
        <v>0.10220000147819519</v>
      </c>
      <c r="G353">
        <f>_xll.BDP("NWSA UW Equity","REALTIME_5_DAY_CHANGE_PERCENT")</f>
        <v>-0.23769999999999999</v>
      </c>
      <c r="H353">
        <f>_xll.BDP("NWSA UW Equity","CHG_PCT_1M_RT")</f>
        <v>-0.4743</v>
      </c>
      <c r="I353">
        <f>_xll.BDP("NWSA UW Equity","CHG_PCT_3M_RT")</f>
        <v>10.4511</v>
      </c>
      <c r="J353">
        <f>_xll.BDP("NWSA UW Equity","CHG_PCT_YTD_RT")</f>
        <v>19.674099999999999</v>
      </c>
    </row>
    <row r="354" spans="1:10" x14ac:dyDescent="0.25">
      <c r="A354" t="s">
        <v>361</v>
      </c>
      <c r="B354">
        <f>_xll.BDP("NXPI UW Equity","LAST_PRICE")</f>
        <v>223.61</v>
      </c>
      <c r="C354">
        <f>_xll.BDP("NXPI UW Equity","LAST_PRICE")</f>
        <v>223.61</v>
      </c>
      <c r="D354">
        <f>_xll.BDP("NXPI UW Equity","LAST_PRICE")</f>
        <v>223.61</v>
      </c>
      <c r="E354">
        <f>_xll.BDP("NXPI UW Equity","LAST_PRICE")</f>
        <v>223.61</v>
      </c>
      <c r="F354">
        <f>_xll.BDP("NXPI UW Equity","RT_PX_CHG_PCT_1D")</f>
        <v>2.2637999057769775</v>
      </c>
      <c r="G354">
        <f>_xll.BDP("NXPI UW Equity","REALTIME_5_DAY_CHANGE_PERCENT")</f>
        <v>-4.2805999999999997</v>
      </c>
      <c r="H354">
        <f>_xll.BDP("NXPI UW Equity","CHG_PCT_1M_RT")</f>
        <v>-4.3952</v>
      </c>
      <c r="I354">
        <f>_xll.BDP("NXPI UW Equity","CHG_PCT_3M_RT")</f>
        <v>-3.0312000000000001</v>
      </c>
      <c r="J354">
        <f>_xll.BDP("NXPI UW Equity","CHG_PCT_YTD_RT")</f>
        <v>-2.6427999999999998</v>
      </c>
    </row>
    <row r="355" spans="1:10" x14ac:dyDescent="0.25">
      <c r="A355" t="s">
        <v>362</v>
      </c>
      <c r="B355">
        <f>_xll.BDP("O UN Equity","LAST_PRICE")</f>
        <v>56.48</v>
      </c>
      <c r="C355">
        <f>_xll.BDP("O UN Equity","LAST_PRICE")</f>
        <v>56.48</v>
      </c>
      <c r="D355">
        <f>_xll.BDP("O UN Equity","LAST_PRICE")</f>
        <v>56.48</v>
      </c>
      <c r="E355">
        <f>_xll.BDP("O UN Equity","LAST_PRICE")</f>
        <v>56.48</v>
      </c>
      <c r="F355">
        <f>_xll.BDP("O UN Equity","RT_PX_CHG_PCT_1D")</f>
        <v>0.55190002918243408</v>
      </c>
      <c r="G355">
        <f>_xll.BDP("O UN Equity","REALTIME_5_DAY_CHANGE_PERCENT")</f>
        <v>-0.37040000000000001</v>
      </c>
      <c r="H355">
        <f>_xll.BDP("O UN Equity","CHG_PCT_1M_RT")</f>
        <v>-1.7909999999999999</v>
      </c>
      <c r="I355">
        <f>_xll.BDP("O UN Equity","CHG_PCT_3M_RT")</f>
        <v>-10.1495</v>
      </c>
      <c r="J355">
        <f>_xll.BDP("O UN Equity","CHG_PCT_YTD_RT")</f>
        <v>-1.6371</v>
      </c>
    </row>
    <row r="356" spans="1:10" x14ac:dyDescent="0.25">
      <c r="A356" t="s">
        <v>363</v>
      </c>
      <c r="B356">
        <f>_xll.BDP("ODFL UW Equity","LAST_PRICE")</f>
        <v>203.93</v>
      </c>
      <c r="C356">
        <f>_xll.BDP("ODFL UW Equity","LAST_PRICE")</f>
        <v>203.93</v>
      </c>
      <c r="D356">
        <f>_xll.BDP("ODFL UW Equity","LAST_PRICE")</f>
        <v>203.93</v>
      </c>
      <c r="E356">
        <f>_xll.BDP("ODFL UW Equity","LAST_PRICE")</f>
        <v>203.93</v>
      </c>
      <c r="F356">
        <f>_xll.BDP("ODFL UW Equity","RT_PX_CHG_PCT_1D")</f>
        <v>0.45809999108314514</v>
      </c>
      <c r="G356">
        <f>_xll.BDP("ODFL UW Equity","REALTIME_5_DAY_CHANGE_PERCENT")</f>
        <v>-9.3040000000000003</v>
      </c>
      <c r="H356">
        <f>_xll.BDP("ODFL UW Equity","CHG_PCT_1M_RT")</f>
        <v>-9.8094000000000001</v>
      </c>
      <c r="I356">
        <f>_xll.BDP("ODFL UW Equity","CHG_PCT_3M_RT")</f>
        <v>7.4560000000000004</v>
      </c>
      <c r="J356">
        <f>_xll.BDP("ODFL UW Equity","CHG_PCT_YTD_RT")</f>
        <v>0.62419999999999998</v>
      </c>
    </row>
    <row r="357" spans="1:10" x14ac:dyDescent="0.25">
      <c r="A357" t="s">
        <v>364</v>
      </c>
      <c r="B357">
        <f>_xll.BDP("OKE UN Equity","LAST_PRICE")</f>
        <v>105.12</v>
      </c>
      <c r="C357">
        <f>_xll.BDP("OKE UN Equity","LAST_PRICE")</f>
        <v>105.12</v>
      </c>
      <c r="D357">
        <f>_xll.BDP("OKE UN Equity","LAST_PRICE")</f>
        <v>105.12</v>
      </c>
      <c r="E357">
        <f>_xll.BDP("OKE UN Equity","LAST_PRICE")</f>
        <v>105.12</v>
      </c>
      <c r="F357">
        <f>_xll.BDP("OKE UN Equity","RT_PX_CHG_PCT_1D")</f>
        <v>-3.5596001148223877</v>
      </c>
      <c r="G357">
        <f>_xll.BDP("OKE UN Equity","REALTIME_5_DAY_CHANGE_PERCENT")</f>
        <v>-4.8170999999999999</v>
      </c>
      <c r="H357">
        <f>_xll.BDP("OKE UN Equity","CHG_PCT_1M_RT")</f>
        <v>-1.9036999999999999</v>
      </c>
      <c r="I357">
        <f>_xll.BDP("OKE UN Equity","CHG_PCT_3M_RT")</f>
        <v>14.2112</v>
      </c>
      <c r="J357">
        <f>_xll.BDP("OKE UN Equity","CHG_PCT_YTD_RT")</f>
        <v>49.700899999999997</v>
      </c>
    </row>
    <row r="358" spans="1:10" x14ac:dyDescent="0.25">
      <c r="A358" t="s">
        <v>365</v>
      </c>
      <c r="B358">
        <f>_xll.BDP("OMC UN Equity","LAST_PRICE")</f>
        <v>92.82</v>
      </c>
      <c r="C358">
        <f>_xll.BDP("OMC UN Equity","LAST_PRICE")</f>
        <v>92.82</v>
      </c>
      <c r="D358">
        <f>_xll.BDP("OMC UN Equity","LAST_PRICE")</f>
        <v>92.82</v>
      </c>
      <c r="E358">
        <f>_xll.BDP("OMC UN Equity","LAST_PRICE")</f>
        <v>92.82</v>
      </c>
      <c r="F358">
        <f>_xll.BDP("OMC UN Equity","RT_PX_CHG_PCT_1D")</f>
        <v>-10.249500274658203</v>
      </c>
      <c r="G358">
        <f>_xll.BDP("OMC UN Equity","REALTIME_5_DAY_CHANGE_PERCENT")</f>
        <v>-11.6084</v>
      </c>
      <c r="H358">
        <f>_xll.BDP("OMC UN Equity","CHG_PCT_1M_RT")</f>
        <v>-11.143000000000001</v>
      </c>
      <c r="I358">
        <f>_xll.BDP("OMC UN Equity","CHG_PCT_3M_RT")</f>
        <v>-6.1475999999999997</v>
      </c>
      <c r="J358">
        <f>_xll.BDP("OMC UN Equity","CHG_PCT_YTD_RT")</f>
        <v>7.2939999999999996</v>
      </c>
    </row>
    <row r="359" spans="1:10" x14ac:dyDescent="0.25">
      <c r="A359" t="s">
        <v>366</v>
      </c>
      <c r="B359">
        <f>_xll.BDP("ON UW Equity","LAST_PRICE")</f>
        <v>67.680000000000007</v>
      </c>
      <c r="C359">
        <f>_xll.BDP("ON UW Equity","LAST_PRICE")</f>
        <v>67.680000000000007</v>
      </c>
      <c r="D359">
        <f>_xll.BDP("ON UW Equity","LAST_PRICE")</f>
        <v>67.680000000000007</v>
      </c>
      <c r="E359">
        <f>_xll.BDP("ON UW Equity","LAST_PRICE")</f>
        <v>67.680000000000007</v>
      </c>
      <c r="F359">
        <f>_xll.BDP("ON UW Equity","RT_PX_CHG_PCT_1D")</f>
        <v>1.7438000440597534</v>
      </c>
      <c r="G359">
        <f>_xll.BDP("ON UW Equity","REALTIME_5_DAY_CHANGE_PERCENT")</f>
        <v>-8.4786999999999999</v>
      </c>
      <c r="H359">
        <f>_xll.BDP("ON UW Equity","CHG_PCT_1M_RT")</f>
        <v>-3.8773</v>
      </c>
      <c r="I359">
        <f>_xll.BDP("ON UW Equity","CHG_PCT_3M_RT")</f>
        <v>-2.4643000000000002</v>
      </c>
      <c r="J359">
        <f>_xll.BDP("ON UW Equity","CHG_PCT_YTD_RT")</f>
        <v>-18.975200000000001</v>
      </c>
    </row>
    <row r="360" spans="1:10" x14ac:dyDescent="0.25">
      <c r="A360" t="s">
        <v>367</v>
      </c>
      <c r="B360">
        <f>_xll.BDP("ORCL UN Equity","LAST_PRICE")</f>
        <v>190.45</v>
      </c>
      <c r="C360">
        <f>_xll.BDP("ORCL UN Equity","LAST_PRICE")</f>
        <v>190.45</v>
      </c>
      <c r="D360">
        <f>_xll.BDP("ORCL UN Equity","LAST_PRICE")</f>
        <v>190.45</v>
      </c>
      <c r="E360">
        <f>_xll.BDP("ORCL UN Equity","LAST_PRICE")</f>
        <v>190.45</v>
      </c>
      <c r="F360">
        <f>_xll.BDP("ORCL UN Equity","RT_PX_CHG_PCT_1D")</f>
        <v>-0.6468999981880188</v>
      </c>
      <c r="G360">
        <f>_xll.BDP("ORCL UN Equity","REALTIME_5_DAY_CHANGE_PERCENT")</f>
        <v>4.9832000000000001</v>
      </c>
      <c r="H360">
        <f>_xll.BDP("ORCL UN Equity","CHG_PCT_1M_RT")</f>
        <v>0.6341</v>
      </c>
      <c r="I360">
        <f>_xll.BDP("ORCL UN Equity","CHG_PCT_3M_RT")</f>
        <v>36.142699999999998</v>
      </c>
      <c r="J360">
        <f>_xll.BDP("ORCL UN Equity","CHG_PCT_YTD_RT")</f>
        <v>80.641199999999998</v>
      </c>
    </row>
    <row r="361" spans="1:10" x14ac:dyDescent="0.25">
      <c r="A361" t="s">
        <v>368</v>
      </c>
      <c r="B361">
        <f>_xll.BDP("ORLY UW Equity","LAST_PRICE")</f>
        <v>1254.9000000000001</v>
      </c>
      <c r="C361">
        <f>_xll.BDP("ORLY UW Equity","LAST_PRICE")</f>
        <v>1254.9000000000001</v>
      </c>
      <c r="D361">
        <f>_xll.BDP("ORLY UW Equity","LAST_PRICE")</f>
        <v>1254.9000000000001</v>
      </c>
      <c r="E361">
        <f>_xll.BDP("ORLY UW Equity","LAST_PRICE")</f>
        <v>1254.9000000000001</v>
      </c>
      <c r="F361">
        <f>_xll.BDP("ORLY UW Equity","RT_PX_CHG_PCT_1D")</f>
        <v>-0.22900000214576721</v>
      </c>
      <c r="G361">
        <f>_xll.BDP("ORLY UW Equity","REALTIME_5_DAY_CHANGE_PERCENT")</f>
        <v>0.64800000000000002</v>
      </c>
      <c r="H361">
        <f>_xll.BDP("ORLY UW Equity","CHG_PCT_1M_RT")</f>
        <v>3.0548999999999999</v>
      </c>
      <c r="I361">
        <f>_xll.BDP("ORLY UW Equity","CHG_PCT_3M_RT")</f>
        <v>11.6439</v>
      </c>
      <c r="J361">
        <f>_xll.BDP("ORLY UW Equity","CHG_PCT_YTD_RT")</f>
        <v>32.083599999999997</v>
      </c>
    </row>
    <row r="362" spans="1:10" x14ac:dyDescent="0.25">
      <c r="A362" t="s">
        <v>369</v>
      </c>
      <c r="B362">
        <f>_xll.BDP("OTIS UN Equity","LAST_PRICE")</f>
        <v>100.87</v>
      </c>
      <c r="C362">
        <f>_xll.BDP("OTIS UN Equity","LAST_PRICE")</f>
        <v>100.87</v>
      </c>
      <c r="D362">
        <f>_xll.BDP("OTIS UN Equity","LAST_PRICE")</f>
        <v>100.87</v>
      </c>
      <c r="E362">
        <f>_xll.BDP("OTIS UN Equity","LAST_PRICE")</f>
        <v>100.87</v>
      </c>
      <c r="F362">
        <f>_xll.BDP("OTIS UN Equity","RT_PX_CHG_PCT_1D")</f>
        <v>1.072100043296814</v>
      </c>
      <c r="G362">
        <f>_xll.BDP("OTIS UN Equity","REALTIME_5_DAY_CHANGE_PERCENT")</f>
        <v>-0.91359999999999997</v>
      </c>
      <c r="H362">
        <f>_xll.BDP("OTIS UN Equity","CHG_PCT_1M_RT")</f>
        <v>0.8397</v>
      </c>
      <c r="I362">
        <f>_xll.BDP("OTIS UN Equity","CHG_PCT_3M_RT")</f>
        <v>10.023999999999999</v>
      </c>
      <c r="J362">
        <f>_xll.BDP("OTIS UN Equity","CHG_PCT_YTD_RT")</f>
        <v>12.7417</v>
      </c>
    </row>
    <row r="363" spans="1:10" x14ac:dyDescent="0.25">
      <c r="A363" t="s">
        <v>370</v>
      </c>
      <c r="B363">
        <f>_xll.BDP("OXY UN Equity","LAST_PRICE")</f>
        <v>48.72</v>
      </c>
      <c r="C363">
        <f>_xll.BDP("OXY UN Equity","LAST_PRICE")</f>
        <v>48.72</v>
      </c>
      <c r="D363">
        <f>_xll.BDP("OXY UN Equity","LAST_PRICE")</f>
        <v>48.72</v>
      </c>
      <c r="E363">
        <f>_xll.BDP("OXY UN Equity","LAST_PRICE")</f>
        <v>48.72</v>
      </c>
      <c r="F363">
        <f>_xll.BDP("OXY UN Equity","RT_PX_CHG_PCT_1D")</f>
        <v>2.4821000099182129</v>
      </c>
      <c r="G363">
        <f>_xll.BDP("OXY UN Equity","REALTIME_5_DAY_CHANGE_PERCENT")</f>
        <v>-3.3717000000000001</v>
      </c>
      <c r="H363">
        <f>_xll.BDP("OXY UN Equity","CHG_PCT_1M_RT")</f>
        <v>-3.5819999999999999</v>
      </c>
      <c r="I363">
        <f>_xll.BDP("OXY UN Equity","CHG_PCT_3M_RT")</f>
        <v>-6.6308999999999996</v>
      </c>
      <c r="J363">
        <f>_xll.BDP("OXY UN Equity","CHG_PCT_YTD_RT")</f>
        <v>-18.4056</v>
      </c>
    </row>
    <row r="364" spans="1:10" x14ac:dyDescent="0.25">
      <c r="A364" t="s">
        <v>371</v>
      </c>
      <c r="B364">
        <f>_xll.BDP("PANW UW Equity","LAST_PRICE")</f>
        <v>388.94</v>
      </c>
      <c r="C364">
        <f>_xll.BDP("PANW UW Equity","LAST_PRICE")</f>
        <v>388.94</v>
      </c>
      <c r="D364">
        <f>_xll.BDP("PANW UW Equity","LAST_PRICE")</f>
        <v>388.94</v>
      </c>
      <c r="E364">
        <f>_xll.BDP("PANW UW Equity","LAST_PRICE")</f>
        <v>388.94</v>
      </c>
      <c r="F364">
        <f>_xll.BDP("PANW UW Equity","RT_PX_CHG_PCT_1D")</f>
        <v>-4.1784000396728516</v>
      </c>
      <c r="G364">
        <f>_xll.BDP("PANW UW Equity","REALTIME_5_DAY_CHANGE_PERCENT")</f>
        <v>-0.31519999999999998</v>
      </c>
      <c r="H364">
        <f>_xll.BDP("PANW UW Equity","CHG_PCT_1M_RT")</f>
        <v>-0.62849999999999995</v>
      </c>
      <c r="I364">
        <f>_xll.BDP("PANW UW Equity","CHG_PCT_3M_RT")</f>
        <v>13.047499999999999</v>
      </c>
      <c r="J364">
        <f>_xll.BDP("PANW UW Equity","CHG_PCT_YTD_RT")</f>
        <v>31.8977</v>
      </c>
    </row>
    <row r="365" spans="1:10" x14ac:dyDescent="0.25">
      <c r="A365" t="s">
        <v>372</v>
      </c>
      <c r="B365">
        <f>_xll.BDP("PARA UW Equity","LAST_PRICE")</f>
        <v>11.17</v>
      </c>
      <c r="C365">
        <f>_xll.BDP("PARA UW Equity","LAST_PRICE")</f>
        <v>11.17</v>
      </c>
      <c r="D365">
        <f>_xll.BDP("PARA UW Equity","LAST_PRICE")</f>
        <v>11.17</v>
      </c>
      <c r="E365">
        <f>_xll.BDP("PARA UW Equity","LAST_PRICE")</f>
        <v>11.17</v>
      </c>
      <c r="F365">
        <f>_xll.BDP("PARA UW Equity","RT_PX_CHG_PCT_1D")</f>
        <v>1.6378999948501587</v>
      </c>
      <c r="G365">
        <f>_xll.BDP("PARA UW Equity","REALTIME_5_DAY_CHANGE_PERCENT")</f>
        <v>1.7303999999999999</v>
      </c>
      <c r="H365">
        <f>_xll.BDP("PARA UW Equity","CHG_PCT_1M_RT")</f>
        <v>0.90329999999999999</v>
      </c>
      <c r="I365">
        <f>_xll.BDP("PARA UW Equity","CHG_PCT_3M_RT")</f>
        <v>8.3414000000000001</v>
      </c>
      <c r="J365">
        <f>_xll.BDP("PARA UW Equity","CHG_PCT_YTD_RT")</f>
        <v>-24.475999999999999</v>
      </c>
    </row>
    <row r="366" spans="1:10" x14ac:dyDescent="0.25">
      <c r="A366" t="s">
        <v>373</v>
      </c>
      <c r="B366">
        <f>_xll.BDP("PAYC UN Equity","LAST_PRICE")</f>
        <v>234.94</v>
      </c>
      <c r="C366">
        <f>_xll.BDP("PAYC UN Equity","LAST_PRICE")</f>
        <v>234.94</v>
      </c>
      <c r="D366">
        <f>_xll.BDP("PAYC UN Equity","LAST_PRICE")</f>
        <v>234.94</v>
      </c>
      <c r="E366">
        <f>_xll.BDP("PAYC UN Equity","LAST_PRICE")</f>
        <v>234.94</v>
      </c>
      <c r="F366">
        <f>_xll.BDP("PAYC UN Equity","RT_PX_CHG_PCT_1D")</f>
        <v>-0.65119999647140503</v>
      </c>
      <c r="G366">
        <f>_xll.BDP("PAYC UN Equity","REALTIME_5_DAY_CHANGE_PERCENT")</f>
        <v>1.0886</v>
      </c>
      <c r="H366">
        <f>_xll.BDP("PAYC UN Equity","CHG_PCT_1M_RT")</f>
        <v>2.706</v>
      </c>
      <c r="I366">
        <f>_xll.BDP("PAYC UN Equity","CHG_PCT_3M_RT")</f>
        <v>43.413499999999999</v>
      </c>
      <c r="J366">
        <f>_xll.BDP("PAYC UN Equity","CHG_PCT_YTD_RT")</f>
        <v>13.651300000000001</v>
      </c>
    </row>
    <row r="367" spans="1:10" x14ac:dyDescent="0.25">
      <c r="A367" t="s">
        <v>374</v>
      </c>
      <c r="B367">
        <f>_xll.BDP("PAYX UW Equity","LAST_PRICE")</f>
        <v>140.94999999999999</v>
      </c>
      <c r="C367">
        <f>_xll.BDP("PAYX UW Equity","LAST_PRICE")</f>
        <v>140.94999999999999</v>
      </c>
      <c r="D367">
        <f>_xll.BDP("PAYX UW Equity","LAST_PRICE")</f>
        <v>140.94999999999999</v>
      </c>
      <c r="E367">
        <f>_xll.BDP("PAYX UW Equity","LAST_PRICE")</f>
        <v>140.94999999999999</v>
      </c>
      <c r="F367">
        <f>_xll.BDP("PAYX UW Equity","RT_PX_CHG_PCT_1D")</f>
        <v>-1.3370000123977661</v>
      </c>
      <c r="G367">
        <f>_xll.BDP("PAYX UW Equity","REALTIME_5_DAY_CHANGE_PERCENT")</f>
        <v>-3.0937999999999999</v>
      </c>
      <c r="H367">
        <f>_xll.BDP("PAYX UW Equity","CHG_PCT_1M_RT")</f>
        <v>-5.1288999999999998</v>
      </c>
      <c r="I367">
        <f>_xll.BDP("PAYX UW Equity","CHG_PCT_3M_RT")</f>
        <v>6.6025999999999998</v>
      </c>
      <c r="J367">
        <f>_xll.BDP("PAYX UW Equity","CHG_PCT_YTD_RT")</f>
        <v>18.335999999999999</v>
      </c>
    </row>
    <row r="368" spans="1:10" x14ac:dyDescent="0.25">
      <c r="A368" t="s">
        <v>375</v>
      </c>
      <c r="B368">
        <f>_xll.BDP("PCAR UW Equity","LAST_PRICE")</f>
        <v>114.83</v>
      </c>
      <c r="C368">
        <f>_xll.BDP("PCAR UW Equity","LAST_PRICE")</f>
        <v>114.83</v>
      </c>
      <c r="D368">
        <f>_xll.BDP("PCAR UW Equity","LAST_PRICE")</f>
        <v>114.83</v>
      </c>
      <c r="E368">
        <f>_xll.BDP("PCAR UW Equity","LAST_PRICE")</f>
        <v>114.83</v>
      </c>
      <c r="F368">
        <f>_xll.BDP("PCAR UW Equity","RT_PX_CHG_PCT_1D")</f>
        <v>-0.90609997510910034</v>
      </c>
      <c r="G368">
        <f>_xll.BDP("PCAR UW Equity","REALTIME_5_DAY_CHANGE_PERCENT")</f>
        <v>-1.2130000000000001</v>
      </c>
      <c r="H368">
        <f>_xll.BDP("PCAR UW Equity","CHG_PCT_1M_RT")</f>
        <v>0.39340000000000003</v>
      </c>
      <c r="I368">
        <f>_xll.BDP("PCAR UW Equity","CHG_PCT_3M_RT")</f>
        <v>20.911899999999999</v>
      </c>
      <c r="J368">
        <f>_xll.BDP("PCAR UW Equity","CHG_PCT_YTD_RT")</f>
        <v>17.593399999999999</v>
      </c>
    </row>
    <row r="369" spans="1:10" x14ac:dyDescent="0.25">
      <c r="A369" t="s">
        <v>376</v>
      </c>
      <c r="B369">
        <f>_xll.BDP("PCG UN Equity","LAST_PRICE")</f>
        <v>20.21</v>
      </c>
      <c r="C369">
        <f>_xll.BDP("PCG UN Equity","LAST_PRICE")</f>
        <v>20.21</v>
      </c>
      <c r="D369">
        <f>_xll.BDP("PCG UN Equity","LAST_PRICE")</f>
        <v>20.21</v>
      </c>
      <c r="E369">
        <f>_xll.BDP("PCG UN Equity","LAST_PRICE")</f>
        <v>20.21</v>
      </c>
      <c r="F369">
        <f>_xll.BDP("PCG UN Equity","RT_PX_CHG_PCT_1D")</f>
        <v>-0.59030002355575562</v>
      </c>
      <c r="G369">
        <f>_xll.BDP("PCG UN Equity","REALTIME_5_DAY_CHANGE_PERCENT")</f>
        <v>-1.6545000000000001</v>
      </c>
      <c r="H369">
        <f>_xll.BDP("PCG UN Equity","CHG_PCT_1M_RT")</f>
        <v>-1.8932</v>
      </c>
      <c r="I369">
        <f>_xll.BDP("PCG UN Equity","CHG_PCT_3M_RT")</f>
        <v>2.0192000000000001</v>
      </c>
      <c r="J369">
        <f>_xll.BDP("PCG UN Equity","CHG_PCT_YTD_RT")</f>
        <v>12.090999999999999</v>
      </c>
    </row>
    <row r="370" spans="1:10" x14ac:dyDescent="0.25">
      <c r="A370" t="s">
        <v>377</v>
      </c>
      <c r="B370">
        <f>_xll.BDP("PEG UN Equity","LAST_PRICE")</f>
        <v>87.9</v>
      </c>
      <c r="C370">
        <f>_xll.BDP("PEG UN Equity","LAST_PRICE")</f>
        <v>87.9</v>
      </c>
      <c r="D370">
        <f>_xll.BDP("PEG UN Equity","LAST_PRICE")</f>
        <v>87.9</v>
      </c>
      <c r="E370">
        <f>_xll.BDP("PEG UN Equity","LAST_PRICE")</f>
        <v>87.9</v>
      </c>
      <c r="F370">
        <f>_xll.BDP("PEG UN Equity","RT_PX_CHG_PCT_1D")</f>
        <v>-2.3333001136779785</v>
      </c>
      <c r="G370">
        <f>_xll.BDP("PEG UN Equity","REALTIME_5_DAY_CHANGE_PERCENT")</f>
        <v>-4.7361000000000004</v>
      </c>
      <c r="H370">
        <f>_xll.BDP("PEG UN Equity","CHG_PCT_1M_RT")</f>
        <v>2.4237000000000002</v>
      </c>
      <c r="I370">
        <f>_xll.BDP("PEG UN Equity","CHG_PCT_3M_RT")</f>
        <v>9.3011999999999997</v>
      </c>
      <c r="J370">
        <f>_xll.BDP("PEG UN Equity","CHG_PCT_YTD_RT")</f>
        <v>43.744900000000001</v>
      </c>
    </row>
    <row r="371" spans="1:10" x14ac:dyDescent="0.25">
      <c r="A371" t="s">
        <v>378</v>
      </c>
      <c r="B371">
        <f>_xll.BDP("PEP UW Equity","LAST_PRICE")</f>
        <v>159.47</v>
      </c>
      <c r="C371">
        <f>_xll.BDP("PEP UW Equity","LAST_PRICE")</f>
        <v>159.47</v>
      </c>
      <c r="D371">
        <f>_xll.BDP("PEP UW Equity","LAST_PRICE")</f>
        <v>159.47</v>
      </c>
      <c r="E371">
        <f>_xll.BDP("PEP UW Equity","LAST_PRICE")</f>
        <v>159.47</v>
      </c>
      <c r="F371">
        <f>_xll.BDP("PEP UW Equity","RT_PX_CHG_PCT_1D")</f>
        <v>1.0647000074386597</v>
      </c>
      <c r="G371">
        <f>_xll.BDP("PEP UW Equity","REALTIME_5_DAY_CHANGE_PERCENT")</f>
        <v>-2.1956000000000002</v>
      </c>
      <c r="H371">
        <f>_xll.BDP("PEP UW Equity","CHG_PCT_1M_RT")</f>
        <v>-3.4159000000000002</v>
      </c>
      <c r="I371">
        <f>_xll.BDP("PEP UW Equity","CHG_PCT_3M_RT")</f>
        <v>-10.505599999999999</v>
      </c>
      <c r="J371">
        <f>_xll.BDP("PEP UW Equity","CHG_PCT_YTD_RT")</f>
        <v>-6.1056999999999997</v>
      </c>
    </row>
    <row r="372" spans="1:10" x14ac:dyDescent="0.25">
      <c r="A372" t="s">
        <v>379</v>
      </c>
      <c r="B372">
        <f>_xll.BDP("PFE UN Equity","LAST_PRICE")</f>
        <v>26.1</v>
      </c>
      <c r="C372">
        <f>_xll.BDP("PFE UN Equity","LAST_PRICE")</f>
        <v>26.1</v>
      </c>
      <c r="D372">
        <f>_xll.BDP("PFE UN Equity","LAST_PRICE")</f>
        <v>26.1</v>
      </c>
      <c r="E372">
        <f>_xll.BDP("PFE UN Equity","LAST_PRICE")</f>
        <v>26.1</v>
      </c>
      <c r="F372">
        <f>_xll.BDP("PFE UN Equity","RT_PX_CHG_PCT_1D")</f>
        <v>1.437999963760376</v>
      </c>
      <c r="G372">
        <f>_xll.BDP("PFE UN Equity","REALTIME_5_DAY_CHANGE_PERCENT")</f>
        <v>1.0844</v>
      </c>
      <c r="H372">
        <f>_xll.BDP("PFE UN Equity","CHG_PCT_1M_RT")</f>
        <v>-2.3203999999999998</v>
      </c>
      <c r="I372">
        <f>_xll.BDP("PFE UN Equity","CHG_PCT_3M_RT")</f>
        <v>-11.2547</v>
      </c>
      <c r="J372">
        <f>_xll.BDP("PFE UN Equity","CHG_PCT_YTD_RT")</f>
        <v>-9.3435000000000006</v>
      </c>
    </row>
    <row r="373" spans="1:10" x14ac:dyDescent="0.25">
      <c r="A373" t="s">
        <v>380</v>
      </c>
      <c r="B373">
        <f>_xll.BDP("PFG UW Equity","LAST_PRICE")</f>
        <v>82.53</v>
      </c>
      <c r="C373">
        <f>_xll.BDP("PFG UW Equity","LAST_PRICE")</f>
        <v>82.53</v>
      </c>
      <c r="D373">
        <f>_xll.BDP("PFG UW Equity","LAST_PRICE")</f>
        <v>82.53</v>
      </c>
      <c r="E373">
        <f>_xll.BDP("PFG UW Equity","LAST_PRICE")</f>
        <v>82.53</v>
      </c>
      <c r="F373">
        <f>_xll.BDP("PFG UW Equity","RT_PX_CHG_PCT_1D")</f>
        <v>-2.2156000137329102</v>
      </c>
      <c r="G373">
        <f>_xll.BDP("PFG UW Equity","REALTIME_5_DAY_CHANGE_PERCENT")</f>
        <v>-3.3833000000000002</v>
      </c>
      <c r="H373">
        <f>_xll.BDP("PFG UW Equity","CHG_PCT_1M_RT")</f>
        <v>-3.4171999999999998</v>
      </c>
      <c r="I373">
        <f>_xll.BDP("PFG UW Equity","CHG_PCT_3M_RT")</f>
        <v>4.1913999999999998</v>
      </c>
      <c r="J373">
        <f>_xll.BDP("PFG UW Equity","CHG_PCT_YTD_RT")</f>
        <v>4.9066000000000001</v>
      </c>
    </row>
    <row r="374" spans="1:10" x14ac:dyDescent="0.25">
      <c r="A374" t="s">
        <v>381</v>
      </c>
      <c r="B374">
        <f>_xll.BDP("PG UN Equity","LAST_PRICE")</f>
        <v>170.79</v>
      </c>
      <c r="C374">
        <f>_xll.BDP("PG UN Equity","LAST_PRICE")</f>
        <v>170.79</v>
      </c>
      <c r="D374">
        <f>_xll.BDP("PG UN Equity","LAST_PRICE")</f>
        <v>170.79</v>
      </c>
      <c r="E374">
        <f>_xll.BDP("PG UN Equity","LAST_PRICE")</f>
        <v>170.79</v>
      </c>
      <c r="F374">
        <f>_xll.BDP("PG UN Equity","RT_PX_CHG_PCT_1D")</f>
        <v>-1.7431999444961548</v>
      </c>
      <c r="G374">
        <f>_xll.BDP("PG UN Equity","REALTIME_5_DAY_CHANGE_PERCENT")</f>
        <v>-4.9583000000000004</v>
      </c>
      <c r="H374">
        <f>_xll.BDP("PG UN Equity","CHG_PCT_1M_RT")</f>
        <v>1.8365</v>
      </c>
      <c r="I374">
        <f>_xll.BDP("PG UN Equity","CHG_PCT_3M_RT")</f>
        <v>-2.9933000000000001</v>
      </c>
      <c r="J374">
        <f>_xll.BDP("PG UN Equity","CHG_PCT_YTD_RT")</f>
        <v>16.548400000000001</v>
      </c>
    </row>
    <row r="375" spans="1:10" x14ac:dyDescent="0.25">
      <c r="A375" t="s">
        <v>382</v>
      </c>
      <c r="B375">
        <f>_xll.BDP("PGR UN Equity","LAST_PRICE")</f>
        <v>247.86</v>
      </c>
      <c r="C375">
        <f>_xll.BDP("PGR UN Equity","LAST_PRICE")</f>
        <v>247.86</v>
      </c>
      <c r="D375">
        <f>_xll.BDP("PGR UN Equity","LAST_PRICE")</f>
        <v>247.86</v>
      </c>
      <c r="E375">
        <f>_xll.BDP("PGR UN Equity","LAST_PRICE")</f>
        <v>247.86</v>
      </c>
      <c r="F375">
        <f>_xll.BDP("PGR UN Equity","RT_PX_CHG_PCT_1D")</f>
        <v>-2.6319999694824219</v>
      </c>
      <c r="G375">
        <f>_xll.BDP("PGR UN Equity","REALTIME_5_DAY_CHANGE_PERCENT")</f>
        <v>-6.1279000000000003</v>
      </c>
      <c r="H375">
        <f>_xll.BDP("PGR UN Equity","CHG_PCT_1M_RT")</f>
        <v>-5.2233000000000001</v>
      </c>
      <c r="I375">
        <f>_xll.BDP("PGR UN Equity","CHG_PCT_3M_RT")</f>
        <v>-1.3728</v>
      </c>
      <c r="J375">
        <f>_xll.BDP("PGR UN Equity","CHG_PCT_YTD_RT")</f>
        <v>56.302599999999998</v>
      </c>
    </row>
    <row r="376" spans="1:10" x14ac:dyDescent="0.25">
      <c r="A376" t="s">
        <v>383</v>
      </c>
      <c r="B376">
        <f>_xll.BDP("PH UN Equity","LAST_PRICE")</f>
        <v>686</v>
      </c>
      <c r="C376">
        <f>_xll.BDP("PH UN Equity","LAST_PRICE")</f>
        <v>686</v>
      </c>
      <c r="D376">
        <f>_xll.BDP("PH UN Equity","LAST_PRICE")</f>
        <v>686</v>
      </c>
      <c r="E376">
        <f>_xll.BDP("PH UN Equity","LAST_PRICE")</f>
        <v>686</v>
      </c>
      <c r="F376">
        <f>_xll.BDP("PH UN Equity","RT_PX_CHG_PCT_1D")</f>
        <v>-1.4594000577926636</v>
      </c>
      <c r="G376">
        <f>_xll.BDP("PH UN Equity","REALTIME_5_DAY_CHANGE_PERCENT")</f>
        <v>-2.0964999999999998</v>
      </c>
      <c r="H376">
        <f>_xll.BDP("PH UN Equity","CHG_PCT_1M_RT")</f>
        <v>-1.3773</v>
      </c>
      <c r="I376">
        <f>_xll.BDP("PH UN Equity","CHG_PCT_3M_RT")</f>
        <v>18.235099999999999</v>
      </c>
      <c r="J376">
        <f>_xll.BDP("PH UN Equity","CHG_PCT_YTD_RT")</f>
        <v>48.903799999999997</v>
      </c>
    </row>
    <row r="377" spans="1:10" x14ac:dyDescent="0.25">
      <c r="A377" t="s">
        <v>384</v>
      </c>
      <c r="B377">
        <f>_xll.BDP("PHM UN Equity","LAST_PRICE")</f>
        <v>128.47</v>
      </c>
      <c r="C377">
        <f>_xll.BDP("PHM UN Equity","LAST_PRICE")</f>
        <v>128.47</v>
      </c>
      <c r="D377">
        <f>_xll.BDP("PHM UN Equity","LAST_PRICE")</f>
        <v>128.47</v>
      </c>
      <c r="E377">
        <f>_xll.BDP("PHM UN Equity","LAST_PRICE")</f>
        <v>128.47</v>
      </c>
      <c r="F377">
        <f>_xll.BDP("PHM UN Equity","RT_PX_CHG_PCT_1D")</f>
        <v>1.3011000156402588</v>
      </c>
      <c r="G377">
        <f>_xll.BDP("PHM UN Equity","REALTIME_5_DAY_CHANGE_PERCENT")</f>
        <v>-4.9356</v>
      </c>
      <c r="H377">
        <f>_xll.BDP("PHM UN Equity","CHG_PCT_1M_RT")</f>
        <v>-3.1876000000000002</v>
      </c>
      <c r="I377">
        <f>_xll.BDP("PHM UN Equity","CHG_PCT_3M_RT")</f>
        <v>-2.3784000000000001</v>
      </c>
      <c r="J377">
        <f>_xll.BDP("PHM UN Equity","CHG_PCT_YTD_RT")</f>
        <v>24.462299999999999</v>
      </c>
    </row>
    <row r="378" spans="1:10" x14ac:dyDescent="0.25">
      <c r="A378" t="s">
        <v>385</v>
      </c>
      <c r="B378">
        <f>_xll.BDP("PKG UN Equity","LAST_PRICE")</f>
        <v>239.63</v>
      </c>
      <c r="C378">
        <f>_xll.BDP("PKG UN Equity","LAST_PRICE")</f>
        <v>239.63</v>
      </c>
      <c r="D378">
        <f>_xll.BDP("PKG UN Equity","LAST_PRICE")</f>
        <v>239.63</v>
      </c>
      <c r="E378">
        <f>_xll.BDP("PKG UN Equity","LAST_PRICE")</f>
        <v>239.63</v>
      </c>
      <c r="F378">
        <f>_xll.BDP("PKG UN Equity","RT_PX_CHG_PCT_1D")</f>
        <v>-1.3300000429153442</v>
      </c>
      <c r="G378">
        <f>_xll.BDP("PKG UN Equity","REALTIME_5_DAY_CHANGE_PERCENT")</f>
        <v>-2.1118999999999999</v>
      </c>
      <c r="H378">
        <f>_xll.BDP("PKG UN Equity","CHG_PCT_1M_RT")</f>
        <v>-0.39900000000000002</v>
      </c>
      <c r="I378">
        <f>_xll.BDP("PKG UN Equity","CHG_PCT_3M_RT")</f>
        <v>17.161300000000001</v>
      </c>
      <c r="J378">
        <f>_xll.BDP("PKG UN Equity","CHG_PCT_YTD_RT")</f>
        <v>47.093499999999999</v>
      </c>
    </row>
    <row r="379" spans="1:10" x14ac:dyDescent="0.25">
      <c r="A379" t="s">
        <v>386</v>
      </c>
      <c r="B379">
        <f>_xll.BDP("PLD UN Equity","LAST_PRICE")</f>
        <v>115.42</v>
      </c>
      <c r="C379">
        <f>_xll.BDP("PLD UN Equity","LAST_PRICE")</f>
        <v>115.42</v>
      </c>
      <c r="D379">
        <f>_xll.BDP("PLD UN Equity","LAST_PRICE")</f>
        <v>115.42</v>
      </c>
      <c r="E379">
        <f>_xll.BDP("PLD UN Equity","LAST_PRICE")</f>
        <v>115.42</v>
      </c>
      <c r="F379">
        <f>_xll.BDP("PLD UN Equity","RT_PX_CHG_PCT_1D")</f>
        <v>3.0536000728607178</v>
      </c>
      <c r="G379">
        <f>_xll.BDP("PLD UN Equity","REALTIME_5_DAY_CHANGE_PERCENT")</f>
        <v>-0.36259999999999998</v>
      </c>
      <c r="H379">
        <f>_xll.BDP("PLD UN Equity","CHG_PCT_1M_RT")</f>
        <v>-0.35399999999999998</v>
      </c>
      <c r="I379">
        <f>_xll.BDP("PLD UN Equity","CHG_PCT_3M_RT")</f>
        <v>-11.3858</v>
      </c>
      <c r="J379">
        <f>_xll.BDP("PLD UN Equity","CHG_PCT_YTD_RT")</f>
        <v>-13.413399999999999</v>
      </c>
    </row>
    <row r="380" spans="1:10" x14ac:dyDescent="0.25">
      <c r="A380" t="s">
        <v>387</v>
      </c>
      <c r="B380">
        <f>_xll.BDP("PLTR UQ Equity","LAST_PRICE")</f>
        <v>72.459999999999994</v>
      </c>
      <c r="C380">
        <f>_xll.BDP("PLTR UQ Equity","LAST_PRICE")</f>
        <v>72.459999999999994</v>
      </c>
      <c r="D380">
        <f>_xll.BDP("PLTR UQ Equity","LAST_PRICE")</f>
        <v>72.459999999999994</v>
      </c>
      <c r="E380">
        <f>_xll.BDP("PLTR UQ Equity","LAST_PRICE")</f>
        <v>72.459999999999994</v>
      </c>
      <c r="F380">
        <f>_xll.BDP("PLTR UQ Equity","RT_PX_CHG_PCT_1D")</f>
        <v>-5.0824999809265137</v>
      </c>
      <c r="G380">
        <f>_xll.BDP("PLTR UQ Equity","REALTIME_5_DAY_CHANGE_PERCENT")</f>
        <v>9.1428999999999991</v>
      </c>
      <c r="H380" t="str">
        <f>_xll.BDP("PLTR UQ Equity","CHG_PCT_1M_RT")</f>
        <v>#N/A N/A</v>
      </c>
      <c r="I380" t="str">
        <f>_xll.BDP("PLTR UQ Equity","CHG_PCT_3M_RT")</f>
        <v>#N/A N/A</v>
      </c>
      <c r="J380" t="str">
        <f>_xll.BDP("PLTR UQ Equity","CHG_PCT_YTD_RT")</f>
        <v>#N/A N/A</v>
      </c>
    </row>
    <row r="381" spans="1:10" x14ac:dyDescent="0.25">
      <c r="A381" t="s">
        <v>388</v>
      </c>
      <c r="B381">
        <f>_xll.BDP("PM UN Equity","LAST_PRICE")</f>
        <v>128.71</v>
      </c>
      <c r="C381">
        <f>_xll.BDP("PM UN Equity","LAST_PRICE")</f>
        <v>128.71</v>
      </c>
      <c r="D381">
        <f>_xll.BDP("PM UN Equity","LAST_PRICE")</f>
        <v>128.71</v>
      </c>
      <c r="E381">
        <f>_xll.BDP("PM UN Equity","LAST_PRICE")</f>
        <v>128.71</v>
      </c>
      <c r="F381">
        <f>_xll.BDP("PM UN Equity","RT_PX_CHG_PCT_1D")</f>
        <v>-1.4170000553131104</v>
      </c>
      <c r="G381">
        <f>_xll.BDP("PM UN Equity","REALTIME_5_DAY_CHANGE_PERCENT")</f>
        <v>-1.7630999999999999</v>
      </c>
      <c r="H381">
        <f>_xll.BDP("PM UN Equity","CHG_PCT_1M_RT")</f>
        <v>1.9565999999999999</v>
      </c>
      <c r="I381">
        <f>_xll.BDP("PM UN Equity","CHG_PCT_3M_RT")</f>
        <v>0.98860000000000003</v>
      </c>
      <c r="J381">
        <f>_xll.BDP("PM UN Equity","CHG_PCT_YTD_RT")</f>
        <v>36.809100000000001</v>
      </c>
    </row>
    <row r="382" spans="1:10" x14ac:dyDescent="0.25">
      <c r="A382" t="s">
        <v>389</v>
      </c>
      <c r="B382">
        <f>_xll.BDP("PNC UN Equity","LAST_PRICE")</f>
        <v>204.5</v>
      </c>
      <c r="C382">
        <f>_xll.BDP("PNC UN Equity","LAST_PRICE")</f>
        <v>204.5</v>
      </c>
      <c r="D382">
        <f>_xll.BDP("PNC UN Equity","LAST_PRICE")</f>
        <v>204.5</v>
      </c>
      <c r="E382">
        <f>_xll.BDP("PNC UN Equity","LAST_PRICE")</f>
        <v>204.5</v>
      </c>
      <c r="F382">
        <f>_xll.BDP("PNC UN Equity","RT_PX_CHG_PCT_1D")</f>
        <v>-1.9795999526977539</v>
      </c>
      <c r="G382">
        <f>_xll.BDP("PNC UN Equity","REALTIME_5_DAY_CHANGE_PERCENT")</f>
        <v>-3.2456</v>
      </c>
      <c r="H382">
        <f>_xll.BDP("PNC UN Equity","CHG_PCT_1M_RT")</f>
        <v>0.25979999999999998</v>
      </c>
      <c r="I382">
        <f>_xll.BDP("PNC UN Equity","CHG_PCT_3M_RT")</f>
        <v>11.987299999999999</v>
      </c>
      <c r="J382">
        <f>_xll.BDP("PNC UN Equity","CHG_PCT_YTD_RT")</f>
        <v>32.063299999999998</v>
      </c>
    </row>
    <row r="383" spans="1:10" x14ac:dyDescent="0.25">
      <c r="A383" t="s">
        <v>390</v>
      </c>
      <c r="B383">
        <f>_xll.BDP("PNR UN Equity","LAST_PRICE")</f>
        <v>108.24</v>
      </c>
      <c r="C383">
        <f>_xll.BDP("PNR UN Equity","LAST_PRICE")</f>
        <v>108.24</v>
      </c>
      <c r="D383">
        <f>_xll.BDP("PNR UN Equity","LAST_PRICE")</f>
        <v>108.24</v>
      </c>
      <c r="E383">
        <f>_xll.BDP("PNR UN Equity","LAST_PRICE")</f>
        <v>108.24</v>
      </c>
      <c r="F383">
        <f>_xll.BDP("PNR UN Equity","RT_PX_CHG_PCT_1D")</f>
        <v>0.12020000070333481</v>
      </c>
      <c r="G383">
        <f>_xll.BDP("PNR UN Equity","REALTIME_5_DAY_CHANGE_PERCENT")</f>
        <v>-0.62429999999999997</v>
      </c>
      <c r="H383">
        <f>_xll.BDP("PNR UN Equity","CHG_PCT_1M_RT")</f>
        <v>3.7277999999999998</v>
      </c>
      <c r="I383">
        <f>_xll.BDP("PNR UN Equity","CHG_PCT_3M_RT")</f>
        <v>25.103999999999999</v>
      </c>
      <c r="J383">
        <f>_xll.BDP("PNR UN Equity","CHG_PCT_YTD_RT")</f>
        <v>48.865400000000001</v>
      </c>
    </row>
    <row r="384" spans="1:10" x14ac:dyDescent="0.25">
      <c r="A384" t="s">
        <v>391</v>
      </c>
      <c r="B384">
        <f>_xll.BDP("PNW UN Equity","LAST_PRICE")</f>
        <v>90.44</v>
      </c>
      <c r="C384">
        <f>_xll.BDP("PNW UN Equity","LAST_PRICE")</f>
        <v>90.44</v>
      </c>
      <c r="D384">
        <f>_xll.BDP("PNW UN Equity","LAST_PRICE")</f>
        <v>90.44</v>
      </c>
      <c r="E384">
        <f>_xll.BDP("PNW UN Equity","LAST_PRICE")</f>
        <v>90.44</v>
      </c>
      <c r="F384">
        <f>_xll.BDP("PNW UN Equity","RT_PX_CHG_PCT_1D")</f>
        <v>-1.2555999755859375</v>
      </c>
      <c r="G384">
        <f>_xll.BDP("PNW UN Equity","REALTIME_5_DAY_CHANGE_PERCENT")</f>
        <v>-2.1423999999999999</v>
      </c>
      <c r="H384">
        <f>_xll.BDP("PNW UN Equity","CHG_PCT_1M_RT")</f>
        <v>-1.4922</v>
      </c>
      <c r="I384">
        <f>_xll.BDP("PNW UN Equity","CHG_PCT_3M_RT")</f>
        <v>1.0729</v>
      </c>
      <c r="J384">
        <f>_xll.BDP("PNW UN Equity","CHG_PCT_YTD_RT")</f>
        <v>25.890899999999998</v>
      </c>
    </row>
    <row r="385" spans="1:10" x14ac:dyDescent="0.25">
      <c r="A385" t="s">
        <v>392</v>
      </c>
      <c r="B385">
        <f>_xll.BDP("PODD UW Equity","LAST_PRICE")</f>
        <v>265.12</v>
      </c>
      <c r="C385">
        <f>_xll.BDP("PODD UW Equity","LAST_PRICE")</f>
        <v>265.12</v>
      </c>
      <c r="D385">
        <f>_xll.BDP("PODD UW Equity","LAST_PRICE")</f>
        <v>265.12</v>
      </c>
      <c r="E385">
        <f>_xll.BDP("PODD UW Equity","LAST_PRICE")</f>
        <v>265.12</v>
      </c>
      <c r="F385">
        <f>_xll.BDP("PODD UW Equity","RT_PX_CHG_PCT_1D")</f>
        <v>-0.12999999523162842</v>
      </c>
      <c r="G385">
        <f>_xll.BDP("PODD UW Equity","REALTIME_5_DAY_CHANGE_PERCENT")</f>
        <v>-0.5141</v>
      </c>
      <c r="H385">
        <f>_xll.BDP("PODD UW Equity","CHG_PCT_1M_RT")</f>
        <v>-1.0746</v>
      </c>
      <c r="I385">
        <f>_xll.BDP("PODD UW Equity","CHG_PCT_3M_RT")</f>
        <v>20.987500000000001</v>
      </c>
      <c r="J385">
        <f>_xll.BDP("PODD UW Equity","CHG_PCT_YTD_RT")</f>
        <v>22.186399999999999</v>
      </c>
    </row>
    <row r="386" spans="1:10" x14ac:dyDescent="0.25">
      <c r="A386" t="s">
        <v>393</v>
      </c>
      <c r="B386">
        <f>_xll.BDP("POOL UW Equity","LAST_PRICE")</f>
        <v>380.32</v>
      </c>
      <c r="C386">
        <f>_xll.BDP("POOL UW Equity","LAST_PRICE")</f>
        <v>380.32</v>
      </c>
      <c r="D386">
        <f>_xll.BDP("POOL UW Equity","LAST_PRICE")</f>
        <v>380.32</v>
      </c>
      <c r="E386">
        <f>_xll.BDP("POOL UW Equity","LAST_PRICE")</f>
        <v>380.32</v>
      </c>
      <c r="F386">
        <f>_xll.BDP("POOL UW Equity","RT_PX_CHG_PCT_1D")</f>
        <v>1.9816000461578369</v>
      </c>
      <c r="G386">
        <f>_xll.BDP("POOL UW Equity","REALTIME_5_DAY_CHANGE_PERCENT")</f>
        <v>1.157</v>
      </c>
      <c r="H386">
        <f>_xll.BDP("POOL UW Equity","CHG_PCT_1M_RT")</f>
        <v>2.0773999999999999</v>
      </c>
      <c r="I386">
        <f>_xll.BDP("POOL UW Equity","CHG_PCT_3M_RT")</f>
        <v>9.7667999999999999</v>
      </c>
      <c r="J386">
        <f>_xll.BDP("POOL UW Equity","CHG_PCT_YTD_RT")</f>
        <v>-4.6124000000000001</v>
      </c>
    </row>
    <row r="387" spans="1:10" x14ac:dyDescent="0.25">
      <c r="A387" t="s">
        <v>394</v>
      </c>
      <c r="B387">
        <f>_xll.BDP("PPG UN Equity","LAST_PRICE")</f>
        <v>126.86</v>
      </c>
      <c r="C387">
        <f>_xll.BDP("PPG UN Equity","LAST_PRICE")</f>
        <v>126.86</v>
      </c>
      <c r="D387">
        <f>_xll.BDP("PPG UN Equity","LAST_PRICE")</f>
        <v>126.86</v>
      </c>
      <c r="E387">
        <f>_xll.BDP("PPG UN Equity","LAST_PRICE")</f>
        <v>126.86</v>
      </c>
      <c r="F387">
        <f>_xll.BDP("PPG UN Equity","RT_PX_CHG_PCT_1D")</f>
        <v>1.0273000001907349</v>
      </c>
      <c r="G387">
        <f>_xll.BDP("PPG UN Equity","REALTIME_5_DAY_CHANGE_PERCENT")</f>
        <v>0.70650000000000002</v>
      </c>
      <c r="H387">
        <f>_xll.BDP("PPG UN Equity","CHG_PCT_1M_RT")</f>
        <v>1.0676000000000001</v>
      </c>
      <c r="I387">
        <f>_xll.BDP("PPG UN Equity","CHG_PCT_3M_RT")</f>
        <v>0.57079999999999997</v>
      </c>
      <c r="J387">
        <f>_xll.BDP("PPG UN Equity","CHG_PCT_YTD_RT")</f>
        <v>-15.1722</v>
      </c>
    </row>
    <row r="388" spans="1:10" x14ac:dyDescent="0.25">
      <c r="A388" t="s">
        <v>395</v>
      </c>
      <c r="B388">
        <f>_xll.BDP("PPL UN Equity","LAST_PRICE")</f>
        <v>33.15</v>
      </c>
      <c r="C388">
        <f>_xll.BDP("PPL UN Equity","LAST_PRICE")</f>
        <v>33.15</v>
      </c>
      <c r="D388">
        <f>_xll.BDP("PPL UN Equity","LAST_PRICE")</f>
        <v>33.15</v>
      </c>
      <c r="E388">
        <f>_xll.BDP("PPL UN Equity","LAST_PRICE")</f>
        <v>33.15</v>
      </c>
      <c r="F388">
        <f>_xll.BDP("PPL UN Equity","RT_PX_CHG_PCT_1D")</f>
        <v>-1.3393000364303589</v>
      </c>
      <c r="G388">
        <f>_xll.BDP("PPL UN Equity","REALTIME_5_DAY_CHANGE_PERCENT")</f>
        <v>-3.7456</v>
      </c>
      <c r="H388">
        <f>_xll.BDP("PPL UN Equity","CHG_PCT_1M_RT")</f>
        <v>0.2722</v>
      </c>
      <c r="I388">
        <f>_xll.BDP("PPL UN Equity","CHG_PCT_3M_RT")</f>
        <v>2.1886999999999999</v>
      </c>
      <c r="J388">
        <f>_xll.BDP("PPL UN Equity","CHG_PCT_YTD_RT")</f>
        <v>22.3247</v>
      </c>
    </row>
    <row r="389" spans="1:10" x14ac:dyDescent="0.25">
      <c r="A389" t="s">
        <v>396</v>
      </c>
      <c r="B389">
        <f>_xll.BDP("PRU UN Equity","LAST_PRICE")</f>
        <v>122.56</v>
      </c>
      <c r="C389">
        <f>_xll.BDP("PRU UN Equity","LAST_PRICE")</f>
        <v>122.56</v>
      </c>
      <c r="D389">
        <f>_xll.BDP("PRU UN Equity","LAST_PRICE")</f>
        <v>122.56</v>
      </c>
      <c r="E389">
        <f>_xll.BDP("PRU UN Equity","LAST_PRICE")</f>
        <v>122.56</v>
      </c>
      <c r="F389">
        <f>_xll.BDP("PRU UN Equity","RT_PX_CHG_PCT_1D")</f>
        <v>-3.160599946975708</v>
      </c>
      <c r="G389">
        <f>_xll.BDP("PRU UN Equity","REALTIME_5_DAY_CHANGE_PERCENT")</f>
        <v>-4.5556999999999999</v>
      </c>
      <c r="H389">
        <f>_xll.BDP("PRU UN Equity","CHG_PCT_1M_RT")</f>
        <v>0.54969999999999997</v>
      </c>
      <c r="I389">
        <f>_xll.BDP("PRU UN Equity","CHG_PCT_3M_RT")</f>
        <v>6.6203000000000003</v>
      </c>
      <c r="J389">
        <f>_xll.BDP("PRU UN Equity","CHG_PCT_YTD_RT")</f>
        <v>18.175699999999999</v>
      </c>
    </row>
    <row r="390" spans="1:10" x14ac:dyDescent="0.25">
      <c r="A390" t="s">
        <v>397</v>
      </c>
      <c r="B390">
        <f>_xll.BDP("PSA UN Equity","LAST_PRICE")</f>
        <v>335.57</v>
      </c>
      <c r="C390">
        <f>_xll.BDP("PSA UN Equity","LAST_PRICE")</f>
        <v>335.57</v>
      </c>
      <c r="D390">
        <f>_xll.BDP("PSA UN Equity","LAST_PRICE")</f>
        <v>335.57</v>
      </c>
      <c r="E390">
        <f>_xll.BDP("PSA UN Equity","LAST_PRICE")</f>
        <v>335.57</v>
      </c>
      <c r="F390">
        <f>_xll.BDP("PSA UN Equity","RT_PX_CHG_PCT_1D")</f>
        <v>0.47009998559951782</v>
      </c>
      <c r="G390">
        <f>_xll.BDP("PSA UN Equity","REALTIME_5_DAY_CHANGE_PERCENT")</f>
        <v>-2.4704000000000002</v>
      </c>
      <c r="H390">
        <f>_xll.BDP("PSA UN Equity","CHG_PCT_1M_RT")</f>
        <v>-1.1343000000000001</v>
      </c>
      <c r="I390">
        <f>_xll.BDP("PSA UN Equity","CHG_PCT_3M_RT")</f>
        <v>-4.532</v>
      </c>
      <c r="J390">
        <f>_xll.BDP("PSA UN Equity","CHG_PCT_YTD_RT")</f>
        <v>10.023</v>
      </c>
    </row>
    <row r="391" spans="1:10" x14ac:dyDescent="0.25">
      <c r="A391" t="s">
        <v>398</v>
      </c>
      <c r="B391">
        <f>_xll.BDP("PSX UN Equity","LAST_PRICE")</f>
        <v>130.08000000000001</v>
      </c>
      <c r="C391">
        <f>_xll.BDP("PSX UN Equity","LAST_PRICE")</f>
        <v>130.08000000000001</v>
      </c>
      <c r="D391">
        <f>_xll.BDP("PSX UN Equity","LAST_PRICE")</f>
        <v>130.08000000000001</v>
      </c>
      <c r="E391">
        <f>_xll.BDP("PSX UN Equity","LAST_PRICE")</f>
        <v>130.08000000000001</v>
      </c>
      <c r="F391">
        <f>_xll.BDP("PSX UN Equity","RT_PX_CHG_PCT_1D")</f>
        <v>1.0880000591278076</v>
      </c>
      <c r="G391">
        <f>_xll.BDP("PSX UN Equity","REALTIME_5_DAY_CHANGE_PERCENT")</f>
        <v>-4.6543999999999999</v>
      </c>
      <c r="H391">
        <f>_xll.BDP("PSX UN Equity","CHG_PCT_1M_RT")</f>
        <v>2.8706999999999998</v>
      </c>
      <c r="I391">
        <f>_xll.BDP("PSX UN Equity","CHG_PCT_3M_RT")</f>
        <v>1.6488</v>
      </c>
      <c r="J391">
        <f>_xll.BDP("PSX UN Equity","CHG_PCT_YTD_RT")</f>
        <v>-2.2982999999999998</v>
      </c>
    </row>
    <row r="392" spans="1:10" x14ac:dyDescent="0.25">
      <c r="A392" t="s">
        <v>399</v>
      </c>
      <c r="B392">
        <f>_xll.BDP("PTC UW Equity","LAST_PRICE")</f>
        <v>199.59</v>
      </c>
      <c r="C392">
        <f>_xll.BDP("PTC UW Equity","LAST_PRICE")</f>
        <v>199.59</v>
      </c>
      <c r="D392">
        <f>_xll.BDP("PTC UW Equity","LAST_PRICE")</f>
        <v>199.59</v>
      </c>
      <c r="E392">
        <f>_xll.BDP("PTC UW Equity","LAST_PRICE")</f>
        <v>199.59</v>
      </c>
      <c r="F392">
        <f>_xll.BDP("PTC UW Equity","RT_PX_CHG_PCT_1D")</f>
        <v>-0.66200000047683716</v>
      </c>
      <c r="G392">
        <f>_xll.BDP("PTC UW Equity","REALTIME_5_DAY_CHANGE_PERCENT")</f>
        <v>0.1053</v>
      </c>
      <c r="H392">
        <f>_xll.BDP("PTC UW Equity","CHG_PCT_1M_RT")</f>
        <v>3.5057</v>
      </c>
      <c r="I392">
        <f>_xll.BDP("PTC UW Equity","CHG_PCT_3M_RT")</f>
        <v>18.9452</v>
      </c>
      <c r="J392">
        <f>_xll.BDP("PTC UW Equity","CHG_PCT_YTD_RT")</f>
        <v>14.077500000000001</v>
      </c>
    </row>
    <row r="393" spans="1:10" x14ac:dyDescent="0.25">
      <c r="A393" t="s">
        <v>400</v>
      </c>
      <c r="B393">
        <f>_xll.BDP("PWR UN Equity","LAST_PRICE")</f>
        <v>321.98</v>
      </c>
      <c r="C393">
        <f>_xll.BDP("PWR UN Equity","LAST_PRICE")</f>
        <v>321.98</v>
      </c>
      <c r="D393">
        <f>_xll.BDP("PWR UN Equity","LAST_PRICE")</f>
        <v>321.98</v>
      </c>
      <c r="E393">
        <f>_xll.BDP("PWR UN Equity","LAST_PRICE")</f>
        <v>321.98</v>
      </c>
      <c r="F393">
        <f>_xll.BDP("PWR UN Equity","RT_PX_CHG_PCT_1D")</f>
        <v>-3.1552000045776367</v>
      </c>
      <c r="G393">
        <f>_xll.BDP("PWR UN Equity","REALTIME_5_DAY_CHANGE_PERCENT")</f>
        <v>-5.9446000000000003</v>
      </c>
      <c r="H393">
        <f>_xll.BDP("PWR UN Equity","CHG_PCT_1M_RT")</f>
        <v>-2.7191999999999998</v>
      </c>
      <c r="I393">
        <f>_xll.BDP("PWR UN Equity","CHG_PCT_3M_RT")</f>
        <v>28.761099999999999</v>
      </c>
      <c r="J393">
        <f>_xll.BDP("PWR UN Equity","CHG_PCT_YTD_RT")</f>
        <v>49.203000000000003</v>
      </c>
    </row>
    <row r="394" spans="1:10" x14ac:dyDescent="0.25">
      <c r="A394" t="s">
        <v>401</v>
      </c>
      <c r="B394">
        <f>_xll.BDP("PYPL UW Equity","LAST_PRICE")</f>
        <v>90</v>
      </c>
      <c r="C394">
        <f>_xll.BDP("PYPL UW Equity","LAST_PRICE")</f>
        <v>90</v>
      </c>
      <c r="D394">
        <f>_xll.BDP("PYPL UW Equity","LAST_PRICE")</f>
        <v>90</v>
      </c>
      <c r="E394">
        <f>_xll.BDP("PYPL UW Equity","LAST_PRICE")</f>
        <v>90</v>
      </c>
      <c r="F394">
        <f>_xll.BDP("PYPL UW Equity","RT_PX_CHG_PCT_1D")</f>
        <v>0.13349999487400055</v>
      </c>
      <c r="G394">
        <f>_xll.BDP("PYPL UW Equity","REALTIME_5_DAY_CHANGE_PERCENT")</f>
        <v>4.0102000000000002</v>
      </c>
      <c r="H394">
        <f>_xll.BDP("PYPL UW Equity","CHG_PCT_1M_RT")</f>
        <v>8.4207000000000001</v>
      </c>
      <c r="I394">
        <f>_xll.BDP("PYPL UW Equity","CHG_PCT_3M_RT")</f>
        <v>29.776499999999999</v>
      </c>
      <c r="J394">
        <f>_xll.BDP("PYPL UW Equity","CHG_PCT_YTD_RT")</f>
        <v>46.555900000000001</v>
      </c>
    </row>
    <row r="395" spans="1:10" x14ac:dyDescent="0.25">
      <c r="A395" t="s">
        <v>402</v>
      </c>
      <c r="B395">
        <f>_xll.BDP("QCOM UW Equity","LAST_PRICE")</f>
        <v>160.74</v>
      </c>
      <c r="C395">
        <f>_xll.BDP("QCOM UW Equity","LAST_PRICE")</f>
        <v>160.74</v>
      </c>
      <c r="D395">
        <f>_xll.BDP("QCOM UW Equity","LAST_PRICE")</f>
        <v>160.74</v>
      </c>
      <c r="E395">
        <f>_xll.BDP("QCOM UW Equity","LAST_PRICE")</f>
        <v>160.74</v>
      </c>
      <c r="F395">
        <f>_xll.BDP("QCOM UW Equity","RT_PX_CHG_PCT_1D")</f>
        <v>0.77109998464584351</v>
      </c>
      <c r="G395">
        <f>_xll.BDP("QCOM UW Equity","REALTIME_5_DAY_CHANGE_PERCENT")</f>
        <v>-1.4046000000000001</v>
      </c>
      <c r="H395">
        <f>_xll.BDP("QCOM UW Equity","CHG_PCT_1M_RT")</f>
        <v>-5.9504999999999999</v>
      </c>
      <c r="I395">
        <f>_xll.BDP("QCOM UW Equity","CHG_PCT_3M_RT")</f>
        <v>-1.8700000000000001E-2</v>
      </c>
      <c r="J395">
        <f>_xll.BDP("QCOM UW Equity","CHG_PCT_YTD_RT")</f>
        <v>11.1388</v>
      </c>
    </row>
    <row r="396" spans="1:10" x14ac:dyDescent="0.25">
      <c r="A396" t="s">
        <v>403</v>
      </c>
      <c r="B396">
        <f>_xll.BDP("QRVO UW Equity","LAST_PRICE")</f>
        <v>69.510000000000005</v>
      </c>
      <c r="C396">
        <f>_xll.BDP("QRVO UW Equity","LAST_PRICE")</f>
        <v>69.510000000000005</v>
      </c>
      <c r="D396">
        <f>_xll.BDP("QRVO UW Equity","LAST_PRICE")</f>
        <v>69.510000000000005</v>
      </c>
      <c r="E396">
        <f>_xll.BDP("QRVO UW Equity","LAST_PRICE")</f>
        <v>69.510000000000005</v>
      </c>
      <c r="F396">
        <f>_xll.BDP("QRVO UW Equity","RT_PX_CHG_PCT_1D")</f>
        <v>1.7268999814987183</v>
      </c>
      <c r="G396">
        <f>_xll.BDP("QRVO UW Equity","REALTIME_5_DAY_CHANGE_PERCENT")</f>
        <v>-1.8220000000000001</v>
      </c>
      <c r="H396">
        <f>_xll.BDP("QRVO UW Equity","CHG_PCT_1M_RT")</f>
        <v>-1.194</v>
      </c>
      <c r="I396">
        <f>_xll.BDP("QRVO UW Equity","CHG_PCT_3M_RT")</f>
        <v>-33.969799999999999</v>
      </c>
      <c r="J396">
        <f>_xll.BDP("QRVO UW Equity","CHG_PCT_YTD_RT")</f>
        <v>-38.273699999999998</v>
      </c>
    </row>
    <row r="397" spans="1:10" x14ac:dyDescent="0.25">
      <c r="A397" t="s">
        <v>404</v>
      </c>
      <c r="B397">
        <f>_xll.BDP("RCL UN Equity","LAST_PRICE")</f>
        <v>247.14</v>
      </c>
      <c r="C397">
        <f>_xll.BDP("RCL UN Equity","LAST_PRICE")</f>
        <v>247.14</v>
      </c>
      <c r="D397">
        <f>_xll.BDP("RCL UN Equity","LAST_PRICE")</f>
        <v>247.14</v>
      </c>
      <c r="E397">
        <f>_xll.BDP("RCL UN Equity","LAST_PRICE")</f>
        <v>247.14</v>
      </c>
      <c r="F397">
        <f>_xll.BDP("RCL UN Equity","RT_PX_CHG_PCT_1D")</f>
        <v>-4.2427000999450684</v>
      </c>
      <c r="G397">
        <f>_xll.BDP("RCL UN Equity","REALTIME_5_DAY_CHANGE_PERCENT")</f>
        <v>0.29630000000000001</v>
      </c>
      <c r="H397">
        <f>_xll.BDP("RCL UN Equity","CHG_PCT_1M_RT")</f>
        <v>9.7082999999999995</v>
      </c>
      <c r="I397">
        <f>_xll.BDP("RCL UN Equity","CHG_PCT_3M_RT")</f>
        <v>54.2119</v>
      </c>
      <c r="J397">
        <f>_xll.BDP("RCL UN Equity","CHG_PCT_YTD_RT")</f>
        <v>90.856399999999994</v>
      </c>
    </row>
    <row r="398" spans="1:10" x14ac:dyDescent="0.25">
      <c r="A398" t="s">
        <v>405</v>
      </c>
      <c r="B398">
        <f>_xll.BDP("REG UW Equity","LAST_PRICE")</f>
        <v>74.92</v>
      </c>
      <c r="C398">
        <f>_xll.BDP("REG UW Equity","LAST_PRICE")</f>
        <v>74.92</v>
      </c>
      <c r="D398">
        <f>_xll.BDP("REG UW Equity","LAST_PRICE")</f>
        <v>74.92</v>
      </c>
      <c r="E398">
        <f>_xll.BDP("REG UW Equity","LAST_PRICE")</f>
        <v>74.92</v>
      </c>
      <c r="F398">
        <f>_xll.BDP("REG UW Equity","RT_PX_CHG_PCT_1D")</f>
        <v>1.0657000541687012</v>
      </c>
      <c r="G398">
        <f>_xll.BDP("REG UW Equity","REALTIME_5_DAY_CHANGE_PERCENT")</f>
        <v>0.3886</v>
      </c>
      <c r="H398">
        <f>_xll.BDP("REG UW Equity","CHG_PCT_1M_RT")</f>
        <v>0.91590000000000005</v>
      </c>
      <c r="I398">
        <f>_xll.BDP("REG UW Equity","CHG_PCT_3M_RT")</f>
        <v>0.64480000000000004</v>
      </c>
      <c r="J398">
        <f>_xll.BDP("REG UW Equity","CHG_PCT_YTD_RT")</f>
        <v>11.8209</v>
      </c>
    </row>
    <row r="399" spans="1:10" x14ac:dyDescent="0.25">
      <c r="A399" t="s">
        <v>406</v>
      </c>
      <c r="B399">
        <f>_xll.BDP("REGN UW Equity","LAST_PRICE")</f>
        <v>788</v>
      </c>
      <c r="C399">
        <f>_xll.BDP("REGN UW Equity","LAST_PRICE")</f>
        <v>788</v>
      </c>
      <c r="D399">
        <f>_xll.BDP("REGN UW Equity","LAST_PRICE")</f>
        <v>788</v>
      </c>
      <c r="E399">
        <f>_xll.BDP("REGN UW Equity","LAST_PRICE")</f>
        <v>788</v>
      </c>
      <c r="F399">
        <f>_xll.BDP("REGN UW Equity","RT_PX_CHG_PCT_1D")</f>
        <v>1.2853000164031982</v>
      </c>
      <c r="G399">
        <f>_xll.BDP("REGN UW Equity","REALTIME_5_DAY_CHANGE_PERCENT")</f>
        <v>3.3660000000000001</v>
      </c>
      <c r="H399">
        <f>_xll.BDP("REGN UW Equity","CHG_PCT_1M_RT")</f>
        <v>-4.8792</v>
      </c>
      <c r="I399">
        <f>_xll.BDP("REGN UW Equity","CHG_PCT_3M_RT")</f>
        <v>-31.165199999999999</v>
      </c>
      <c r="J399">
        <f>_xll.BDP("REGN UW Equity","CHG_PCT_YTD_RT")</f>
        <v>-10.280200000000001</v>
      </c>
    </row>
    <row r="400" spans="1:10" x14ac:dyDescent="0.25">
      <c r="A400" t="s">
        <v>407</v>
      </c>
      <c r="B400">
        <f>_xll.BDP("RF UN Equity","LAST_PRICE")</f>
        <v>25.73</v>
      </c>
      <c r="C400">
        <f>_xll.BDP("RF UN Equity","LAST_PRICE")</f>
        <v>25.73</v>
      </c>
      <c r="D400">
        <f>_xll.BDP("RF UN Equity","LAST_PRICE")</f>
        <v>25.73</v>
      </c>
      <c r="E400">
        <f>_xll.BDP("RF UN Equity","LAST_PRICE")</f>
        <v>25.73</v>
      </c>
      <c r="F400">
        <f>_xll.BDP("RF UN Equity","RT_PX_CHG_PCT_1D")</f>
        <v>-2.0183000564575195</v>
      </c>
      <c r="G400">
        <f>_xll.BDP("RF UN Equity","REALTIME_5_DAY_CHANGE_PERCENT")</f>
        <v>-3.0154999999999998</v>
      </c>
      <c r="H400">
        <f>_xll.BDP("RF UN Equity","CHG_PCT_1M_RT")</f>
        <v>0.4294</v>
      </c>
      <c r="I400">
        <f>_xll.BDP("RF UN Equity","CHG_PCT_3M_RT")</f>
        <v>14.102</v>
      </c>
      <c r="J400">
        <f>_xll.BDP("RF UN Equity","CHG_PCT_YTD_RT")</f>
        <v>32.765700000000002</v>
      </c>
    </row>
    <row r="401" spans="1:10" x14ac:dyDescent="0.25">
      <c r="A401" t="s">
        <v>408</v>
      </c>
      <c r="B401">
        <f>_xll.BDP("RJF UN Equity","LAST_PRICE")</f>
        <v>161.53</v>
      </c>
      <c r="C401">
        <f>_xll.BDP("RJF UN Equity","LAST_PRICE")</f>
        <v>161.53</v>
      </c>
      <c r="D401">
        <f>_xll.BDP("RJF UN Equity","LAST_PRICE")</f>
        <v>161.53</v>
      </c>
      <c r="E401">
        <f>_xll.BDP("RJF UN Equity","LAST_PRICE")</f>
        <v>161.53</v>
      </c>
      <c r="F401">
        <f>_xll.BDP("RJF UN Equity","RT_PX_CHG_PCT_1D")</f>
        <v>-1.1444000005722046</v>
      </c>
      <c r="G401">
        <f>_xll.BDP("RJF UN Equity","REALTIME_5_DAY_CHANGE_PERCENT")</f>
        <v>-3.2465000000000002</v>
      </c>
      <c r="H401">
        <f>_xll.BDP("RJF UN Equity","CHG_PCT_1M_RT")</f>
        <v>1.764</v>
      </c>
      <c r="I401">
        <f>_xll.BDP("RJF UN Equity","CHG_PCT_3M_RT")</f>
        <v>38.237099999999998</v>
      </c>
      <c r="J401">
        <f>_xll.BDP("RJF UN Equity","CHG_PCT_YTD_RT")</f>
        <v>44.87</v>
      </c>
    </row>
    <row r="402" spans="1:10" x14ac:dyDescent="0.25">
      <c r="A402" t="s">
        <v>409</v>
      </c>
      <c r="B402">
        <f>_xll.BDP("RL UN Equity","LAST_PRICE")</f>
        <v>228.13</v>
      </c>
      <c r="C402">
        <f>_xll.BDP("RL UN Equity","LAST_PRICE")</f>
        <v>228.13</v>
      </c>
      <c r="D402">
        <f>_xll.BDP("RL UN Equity","LAST_PRICE")</f>
        <v>228.13</v>
      </c>
      <c r="E402">
        <f>_xll.BDP("RL UN Equity","LAST_PRICE")</f>
        <v>228.13</v>
      </c>
      <c r="F402">
        <f>_xll.BDP("RL UN Equity","RT_PX_CHG_PCT_1D")</f>
        <v>-1.131100058555603</v>
      </c>
      <c r="G402">
        <f>_xll.BDP("RL UN Equity","REALTIME_5_DAY_CHANGE_PERCENT")</f>
        <v>-2.2621000000000002</v>
      </c>
      <c r="H402">
        <f>_xll.BDP("RL UN Equity","CHG_PCT_1M_RT")</f>
        <v>2.4935</v>
      </c>
      <c r="I402">
        <f>_xll.BDP("RL UN Equity","CHG_PCT_3M_RT")</f>
        <v>31.3432</v>
      </c>
      <c r="J402">
        <f>_xll.BDP("RL UN Equity","CHG_PCT_YTD_RT")</f>
        <v>58.203899999999997</v>
      </c>
    </row>
    <row r="403" spans="1:10" x14ac:dyDescent="0.25">
      <c r="A403" t="s">
        <v>410</v>
      </c>
      <c r="B403">
        <f>_xll.BDP("RMD UN Equity","LAST_PRICE")</f>
        <v>244.76</v>
      </c>
      <c r="C403">
        <f>_xll.BDP("RMD UN Equity","LAST_PRICE")</f>
        <v>244.76</v>
      </c>
      <c r="D403">
        <f>_xll.BDP("RMD UN Equity","LAST_PRICE")</f>
        <v>244.76</v>
      </c>
      <c r="E403">
        <f>_xll.BDP("RMD UN Equity","LAST_PRICE")</f>
        <v>244.76</v>
      </c>
      <c r="F403">
        <f>_xll.BDP("RMD UN Equity","RT_PX_CHG_PCT_1D")</f>
        <v>1.3876999616622925</v>
      </c>
      <c r="G403">
        <f>_xll.BDP("RMD UN Equity","REALTIME_5_DAY_CHANGE_PERCENT")</f>
        <v>-6.5299999999999997E-2</v>
      </c>
      <c r="H403">
        <f>_xll.BDP("RMD UN Equity","CHG_PCT_1M_RT")</f>
        <v>-3.0192999999999999</v>
      </c>
      <c r="I403">
        <f>_xll.BDP("RMD UN Equity","CHG_PCT_3M_RT")</f>
        <v>-1.9234</v>
      </c>
      <c r="J403">
        <f>_xll.BDP("RMD UN Equity","CHG_PCT_YTD_RT")</f>
        <v>42.285800000000002</v>
      </c>
    </row>
    <row r="404" spans="1:10" x14ac:dyDescent="0.25">
      <c r="A404" t="s">
        <v>411</v>
      </c>
      <c r="B404">
        <f>_xll.BDP("ROK UN Equity","LAST_PRICE")</f>
        <v>298.72000000000003</v>
      </c>
      <c r="C404">
        <f>_xll.BDP("ROK UN Equity","LAST_PRICE")</f>
        <v>298.72000000000003</v>
      </c>
      <c r="D404">
        <f>_xll.BDP("ROK UN Equity","LAST_PRICE")</f>
        <v>298.72000000000003</v>
      </c>
      <c r="E404">
        <f>_xll.BDP("ROK UN Equity","LAST_PRICE")</f>
        <v>298.72000000000003</v>
      </c>
      <c r="F404">
        <f>_xll.BDP("ROK UN Equity","RT_PX_CHG_PCT_1D")</f>
        <v>1.1171000003814697</v>
      </c>
      <c r="G404">
        <f>_xll.BDP("ROK UN Equity","REALTIME_5_DAY_CHANGE_PERCENT")</f>
        <v>0.53849999999999998</v>
      </c>
      <c r="H404">
        <f>_xll.BDP("ROK UN Equity","CHG_PCT_1M_RT")</f>
        <v>9.7669999999999995</v>
      </c>
      <c r="I404">
        <f>_xll.BDP("ROK UN Equity","CHG_PCT_3M_RT")</f>
        <v>15.2247</v>
      </c>
      <c r="J404">
        <f>_xll.BDP("ROK UN Equity","CHG_PCT_YTD_RT")</f>
        <v>-3.7877000000000001</v>
      </c>
    </row>
    <row r="405" spans="1:10" x14ac:dyDescent="0.25">
      <c r="A405" t="s">
        <v>412</v>
      </c>
      <c r="B405">
        <f>_xll.BDP("ROL UN Equity","LAST_PRICE")</f>
        <v>48.68</v>
      </c>
      <c r="C405">
        <f>_xll.BDP("ROL UN Equity","LAST_PRICE")</f>
        <v>48.68</v>
      </c>
      <c r="D405">
        <f>_xll.BDP("ROL UN Equity","LAST_PRICE")</f>
        <v>48.68</v>
      </c>
      <c r="E405">
        <f>_xll.BDP("ROL UN Equity","LAST_PRICE")</f>
        <v>48.68</v>
      </c>
      <c r="F405">
        <f>_xll.BDP("ROL UN Equity","RT_PX_CHG_PCT_1D")</f>
        <v>-1.4974000453948975</v>
      </c>
      <c r="G405">
        <f>_xll.BDP("ROL UN Equity","REALTIME_5_DAY_CHANGE_PERCENT")</f>
        <v>-2.3666</v>
      </c>
      <c r="H405">
        <f>_xll.BDP("ROL UN Equity","CHG_PCT_1M_RT")</f>
        <v>-2.9891999999999999</v>
      </c>
      <c r="I405">
        <f>_xll.BDP("ROL UN Equity","CHG_PCT_3M_RT")</f>
        <v>-1.9734</v>
      </c>
      <c r="J405">
        <f>_xll.BDP("ROL UN Equity","CHG_PCT_YTD_RT")</f>
        <v>11.4724</v>
      </c>
    </row>
    <row r="406" spans="1:10" x14ac:dyDescent="0.25">
      <c r="A406" t="s">
        <v>413</v>
      </c>
      <c r="B406">
        <f>_xll.BDP("ROP UW Equity","LAST_PRICE")</f>
        <v>548.41999999999996</v>
      </c>
      <c r="C406">
        <f>_xll.BDP("ROP UW Equity","LAST_PRICE")</f>
        <v>548.41999999999996</v>
      </c>
      <c r="D406">
        <f>_xll.BDP("ROP UW Equity","LAST_PRICE")</f>
        <v>548.41999999999996</v>
      </c>
      <c r="E406">
        <f>_xll.BDP("ROP UW Equity","LAST_PRICE")</f>
        <v>548.41999999999996</v>
      </c>
      <c r="F406">
        <f>_xll.BDP("ROP UW Equity","RT_PX_CHG_PCT_1D")</f>
        <v>-0.50440001487731934</v>
      </c>
      <c r="G406">
        <f>_xll.BDP("ROP UW Equity","REALTIME_5_DAY_CHANGE_PERCENT")</f>
        <v>-3.5541999999999998</v>
      </c>
      <c r="H406">
        <f>_xll.BDP("ROP UW Equity","CHG_PCT_1M_RT")</f>
        <v>-3.3824999999999998</v>
      </c>
      <c r="I406">
        <f>_xll.BDP("ROP UW Equity","CHG_PCT_3M_RT")</f>
        <v>-0.89810000000000001</v>
      </c>
      <c r="J406">
        <f>_xll.BDP("ROP UW Equity","CHG_PCT_YTD_RT")</f>
        <v>0.59609999999999996</v>
      </c>
    </row>
    <row r="407" spans="1:10" x14ac:dyDescent="0.25">
      <c r="A407" t="s">
        <v>414</v>
      </c>
      <c r="B407">
        <f>_xll.BDP("ROST UW Equity","LAST_PRICE")</f>
        <v>156.24</v>
      </c>
      <c r="C407">
        <f>_xll.BDP("ROST UW Equity","LAST_PRICE")</f>
        <v>156.24</v>
      </c>
      <c r="D407">
        <f>_xll.BDP("ROST UW Equity","LAST_PRICE")</f>
        <v>156.24</v>
      </c>
      <c r="E407">
        <f>_xll.BDP("ROST UW Equity","LAST_PRICE")</f>
        <v>156.24</v>
      </c>
      <c r="F407">
        <f>_xll.BDP("ROST UW Equity","RT_PX_CHG_PCT_1D")</f>
        <v>-0.1534000039100647</v>
      </c>
      <c r="G407">
        <f>_xll.BDP("ROST UW Equity","REALTIME_5_DAY_CHANGE_PERCENT")</f>
        <v>-7.6700000000000004E-2</v>
      </c>
      <c r="H407">
        <f>_xll.BDP("ROST UW Equity","CHG_PCT_1M_RT")</f>
        <v>8.9540000000000006</v>
      </c>
      <c r="I407">
        <f>_xll.BDP("ROST UW Equity","CHG_PCT_3M_RT")</f>
        <v>3.6143000000000001</v>
      </c>
      <c r="J407">
        <f>_xll.BDP("ROST UW Equity","CHG_PCT_YTD_RT")</f>
        <v>12.898300000000001</v>
      </c>
    </row>
    <row r="408" spans="1:10" x14ac:dyDescent="0.25">
      <c r="A408" t="s">
        <v>415</v>
      </c>
      <c r="B408">
        <f>_xll.BDP("RSG UN Equity","LAST_PRICE")</f>
        <v>212.34</v>
      </c>
      <c r="C408">
        <f>_xll.BDP("RSG UN Equity","LAST_PRICE")</f>
        <v>212.34</v>
      </c>
      <c r="D408">
        <f>_xll.BDP("RSG UN Equity","LAST_PRICE")</f>
        <v>212.34</v>
      </c>
      <c r="E408">
        <f>_xll.BDP("RSG UN Equity","LAST_PRICE")</f>
        <v>212.34</v>
      </c>
      <c r="F408">
        <f>_xll.BDP("RSG UN Equity","RT_PX_CHG_PCT_1D")</f>
        <v>-2.003000020980835</v>
      </c>
      <c r="G408">
        <f>_xll.BDP("RSG UN Equity","REALTIME_5_DAY_CHANGE_PERCENT")</f>
        <v>-1.2188000000000001</v>
      </c>
      <c r="H408">
        <f>_xll.BDP("RSG UN Equity","CHG_PCT_1M_RT")</f>
        <v>0.35449999999999998</v>
      </c>
      <c r="I408">
        <f>_xll.BDP("RSG UN Equity","CHG_PCT_3M_RT")</f>
        <v>3.4291</v>
      </c>
      <c r="J408">
        <f>_xll.BDP("RSG UN Equity","CHG_PCT_YTD_RT")</f>
        <v>28.761099999999999</v>
      </c>
    </row>
    <row r="409" spans="1:10" x14ac:dyDescent="0.25">
      <c r="A409" t="s">
        <v>416</v>
      </c>
      <c r="B409">
        <f>_xll.BDP("RTX UN Equity","LAST_PRICE")</f>
        <v>116.58</v>
      </c>
      <c r="C409">
        <f>_xll.BDP("RTX UN Equity","LAST_PRICE")</f>
        <v>116.58</v>
      </c>
      <c r="D409">
        <f>_xll.BDP("RTX UN Equity","LAST_PRICE")</f>
        <v>116.58</v>
      </c>
      <c r="E409">
        <f>_xll.BDP("RTX UN Equity","LAST_PRICE")</f>
        <v>116.58</v>
      </c>
      <c r="F409">
        <f>_xll.BDP("RTX UN Equity","RT_PX_CHG_PCT_1D")</f>
        <v>-1.1950000524520874</v>
      </c>
      <c r="G409">
        <f>_xll.BDP("RTX UN Equity","REALTIME_5_DAY_CHANGE_PERCENT")</f>
        <v>-1.7695000000000001</v>
      </c>
      <c r="H409">
        <f>_xll.BDP("RTX UN Equity","CHG_PCT_1M_RT")</f>
        <v>-5.6414</v>
      </c>
      <c r="I409">
        <f>_xll.BDP("RTX UN Equity","CHG_PCT_3M_RT")</f>
        <v>-3.7801</v>
      </c>
      <c r="J409">
        <f>_xll.BDP("RTX UN Equity","CHG_PCT_YTD_RT")</f>
        <v>38.5548</v>
      </c>
    </row>
    <row r="410" spans="1:10" x14ac:dyDescent="0.25">
      <c r="A410" t="s">
        <v>417</v>
      </c>
      <c r="B410">
        <f>_xll.BDP("RVTY UN Equity","LAST_PRICE")</f>
        <v>120.29</v>
      </c>
      <c r="C410">
        <f>_xll.BDP("RVTY UN Equity","LAST_PRICE")</f>
        <v>120.29</v>
      </c>
      <c r="D410">
        <f>_xll.BDP("RVTY UN Equity","LAST_PRICE")</f>
        <v>120.29</v>
      </c>
      <c r="E410">
        <f>_xll.BDP("RVTY UN Equity","LAST_PRICE")</f>
        <v>120.29</v>
      </c>
      <c r="F410">
        <f>_xll.BDP("RVTY UN Equity","RT_PX_CHG_PCT_1D")</f>
        <v>3.2887001037597656</v>
      </c>
      <c r="G410">
        <f>_xll.BDP("RVTY UN Equity","REALTIME_5_DAY_CHANGE_PERCENT")</f>
        <v>3.0762999999999998</v>
      </c>
      <c r="H410">
        <f>_xll.BDP("RVTY UN Equity","CHG_PCT_1M_RT")</f>
        <v>-1.78</v>
      </c>
      <c r="I410">
        <f>_xll.BDP("RVTY UN Equity","CHG_PCT_3M_RT")</f>
        <v>1.2883</v>
      </c>
      <c r="J410">
        <f>_xll.BDP("RVTY UN Equity","CHG_PCT_YTD_RT")</f>
        <v>10.0448</v>
      </c>
    </row>
    <row r="411" spans="1:10" x14ac:dyDescent="0.25">
      <c r="A411" t="s">
        <v>418</v>
      </c>
      <c r="B411">
        <f>_xll.BDP("SBAC UW Equity","LAST_PRICE")</f>
        <v>223.26</v>
      </c>
      <c r="C411">
        <f>_xll.BDP("SBAC UW Equity","LAST_PRICE")</f>
        <v>223.26</v>
      </c>
      <c r="D411">
        <f>_xll.BDP("SBAC UW Equity","LAST_PRICE")</f>
        <v>223.26</v>
      </c>
      <c r="E411">
        <f>_xll.BDP("SBAC UW Equity","LAST_PRICE")</f>
        <v>223.26</v>
      </c>
      <c r="F411">
        <f>_xll.BDP("SBAC UW Equity","RT_PX_CHG_PCT_1D")</f>
        <v>1.3068000078201294</v>
      </c>
      <c r="G411">
        <f>_xll.BDP("SBAC UW Equity","REALTIME_5_DAY_CHANGE_PERCENT")</f>
        <v>0.14349999999999999</v>
      </c>
      <c r="H411">
        <f>_xll.BDP("SBAC UW Equity","CHG_PCT_1M_RT")</f>
        <v>-0.29470000000000002</v>
      </c>
      <c r="I411">
        <f>_xll.BDP("SBAC UW Equity","CHG_PCT_3M_RT")</f>
        <v>-6.9090999999999996</v>
      </c>
      <c r="J411">
        <f>_xll.BDP("SBAC UW Equity","CHG_PCT_YTD_RT")</f>
        <v>-11.994999999999999</v>
      </c>
    </row>
    <row r="412" spans="1:10" x14ac:dyDescent="0.25">
      <c r="A412" t="s">
        <v>419</v>
      </c>
      <c r="B412">
        <f>_xll.BDP("SBUX UW Equity","LAST_PRICE")</f>
        <v>99.31</v>
      </c>
      <c r="C412">
        <f>_xll.BDP("SBUX UW Equity","LAST_PRICE")</f>
        <v>99.31</v>
      </c>
      <c r="D412">
        <f>_xll.BDP("SBUX UW Equity","LAST_PRICE")</f>
        <v>99.31</v>
      </c>
      <c r="E412">
        <f>_xll.BDP("SBUX UW Equity","LAST_PRICE")</f>
        <v>99.31</v>
      </c>
      <c r="F412">
        <f>_xll.BDP("SBUX UW Equity","RT_PX_CHG_PCT_1D")</f>
        <v>-0.79909998178482056</v>
      </c>
      <c r="G412">
        <f>_xll.BDP("SBUX UW Equity","REALTIME_5_DAY_CHANGE_PERCENT")</f>
        <v>-2.1673</v>
      </c>
      <c r="H412">
        <f>_xll.BDP("SBUX UW Equity","CHG_PCT_1M_RT")</f>
        <v>1.8042</v>
      </c>
      <c r="I412">
        <f>_xll.BDP("SBUX UW Equity","CHG_PCT_3M_RT")</f>
        <v>7.6997999999999998</v>
      </c>
      <c r="J412">
        <f>_xll.BDP("SBUX UW Equity","CHG_PCT_YTD_RT")</f>
        <v>3.4371</v>
      </c>
    </row>
    <row r="413" spans="1:10" x14ac:dyDescent="0.25">
      <c r="A413" t="s">
        <v>420</v>
      </c>
      <c r="B413">
        <f>_xll.BDP("SCHW UN Equity","LAST_PRICE")</f>
        <v>81.510000000000005</v>
      </c>
      <c r="C413">
        <f>_xll.BDP("SCHW UN Equity","LAST_PRICE")</f>
        <v>81.510000000000005</v>
      </c>
      <c r="D413">
        <f>_xll.BDP("SCHW UN Equity","LAST_PRICE")</f>
        <v>81.510000000000005</v>
      </c>
      <c r="E413">
        <f>_xll.BDP("SCHW UN Equity","LAST_PRICE")</f>
        <v>81.510000000000005</v>
      </c>
      <c r="F413">
        <f>_xll.BDP("SCHW UN Equity","RT_PX_CHG_PCT_1D")</f>
        <v>4.9100000411272049E-2</v>
      </c>
      <c r="G413">
        <f>_xll.BDP("SCHW UN Equity","REALTIME_5_DAY_CHANGE_PERCENT")</f>
        <v>0.1474</v>
      </c>
      <c r="H413">
        <f>_xll.BDP("SCHW UN Equity","CHG_PCT_1M_RT")</f>
        <v>10.297700000000001</v>
      </c>
      <c r="I413">
        <f>_xll.BDP("SCHW UN Equity","CHG_PCT_3M_RT")</f>
        <v>29.360399999999998</v>
      </c>
      <c r="J413">
        <f>_xll.BDP("SCHW UN Equity","CHG_PCT_YTD_RT")</f>
        <v>18.473800000000001</v>
      </c>
    </row>
    <row r="414" spans="1:10" x14ac:dyDescent="0.25">
      <c r="A414" t="s">
        <v>421</v>
      </c>
      <c r="B414">
        <f>_xll.BDP("SHW UN Equity","LAST_PRICE")</f>
        <v>376.45</v>
      </c>
      <c r="C414">
        <f>_xll.BDP("SHW UN Equity","LAST_PRICE")</f>
        <v>376.45</v>
      </c>
      <c r="D414">
        <f>_xll.BDP("SHW UN Equity","LAST_PRICE")</f>
        <v>376.45</v>
      </c>
      <c r="E414">
        <f>_xll.BDP("SHW UN Equity","LAST_PRICE")</f>
        <v>376.45</v>
      </c>
      <c r="F414">
        <f>_xll.BDP("SHW UN Equity","RT_PX_CHG_PCT_1D")</f>
        <v>-2.2105998992919922</v>
      </c>
      <c r="G414">
        <f>_xll.BDP("SHW UN Equity","REALTIME_5_DAY_CHANGE_PERCENT")</f>
        <v>-4.8358999999999996</v>
      </c>
      <c r="H414">
        <f>_xll.BDP("SHW UN Equity","CHG_PCT_1M_RT")</f>
        <v>-2.6431</v>
      </c>
      <c r="I414">
        <f>_xll.BDP("SHW UN Equity","CHG_PCT_3M_RT")</f>
        <v>3.4487000000000001</v>
      </c>
      <c r="J414">
        <f>_xll.BDP("SHW UN Equity","CHG_PCT_YTD_RT")</f>
        <v>20.695699999999999</v>
      </c>
    </row>
    <row r="415" spans="1:10" x14ac:dyDescent="0.25">
      <c r="A415" t="s">
        <v>422</v>
      </c>
      <c r="B415">
        <f>_xll.BDP("SJM UN Equity","LAST_PRICE")</f>
        <v>117.83</v>
      </c>
      <c r="C415">
        <f>_xll.BDP("SJM UN Equity","LAST_PRICE")</f>
        <v>117.83</v>
      </c>
      <c r="D415">
        <f>_xll.BDP("SJM UN Equity","LAST_PRICE")</f>
        <v>117.83</v>
      </c>
      <c r="E415">
        <f>_xll.BDP("SJM UN Equity","LAST_PRICE")</f>
        <v>117.83</v>
      </c>
      <c r="F415">
        <f>_xll.BDP("SJM UN Equity","RT_PX_CHG_PCT_1D")</f>
        <v>1.1763999462127686</v>
      </c>
      <c r="G415">
        <f>_xll.BDP("SJM UN Equity","REALTIME_5_DAY_CHANGE_PERCENT")</f>
        <v>-1.4635</v>
      </c>
      <c r="H415">
        <f>_xll.BDP("SJM UN Equity","CHG_PCT_1M_RT")</f>
        <v>2.0615000000000001</v>
      </c>
      <c r="I415">
        <f>_xll.BDP("SJM UN Equity","CHG_PCT_3M_RT")</f>
        <v>-1.9554</v>
      </c>
      <c r="J415">
        <f>_xll.BDP("SJM UN Equity","CHG_PCT_YTD_RT")</f>
        <v>-6.7652999999999999</v>
      </c>
    </row>
    <row r="416" spans="1:10" x14ac:dyDescent="0.25">
      <c r="A416" t="s">
        <v>423</v>
      </c>
      <c r="B416">
        <f>_xll.BDP("SLB UN Equity","LAST_PRICE")</f>
        <v>41.17</v>
      </c>
      <c r="C416">
        <f>_xll.BDP("SLB UN Equity","LAST_PRICE")</f>
        <v>41.17</v>
      </c>
      <c r="D416">
        <f>_xll.BDP("SLB UN Equity","LAST_PRICE")</f>
        <v>41.17</v>
      </c>
      <c r="E416">
        <f>_xll.BDP("SLB UN Equity","LAST_PRICE")</f>
        <v>41.17</v>
      </c>
      <c r="F416">
        <f>_xll.BDP("SLB UN Equity","RT_PX_CHG_PCT_1D")</f>
        <v>0.51270002126693726</v>
      </c>
      <c r="G416">
        <f>_xll.BDP("SLB UN Equity","REALTIME_5_DAY_CHANGE_PERCENT")</f>
        <v>-5.6383000000000001</v>
      </c>
      <c r="H416">
        <f>_xll.BDP("SLB UN Equity","CHG_PCT_1M_RT")</f>
        <v>-4.6548999999999996</v>
      </c>
      <c r="I416">
        <f>_xll.BDP("SLB UN Equity","CHG_PCT_3M_RT")</f>
        <v>1.8807</v>
      </c>
      <c r="J416">
        <f>_xll.BDP("SLB UN Equity","CHG_PCT_YTD_RT")</f>
        <v>-20.887799999999999</v>
      </c>
    </row>
    <row r="417" spans="1:10" x14ac:dyDescent="0.25">
      <c r="A417" t="s">
        <v>424</v>
      </c>
      <c r="B417">
        <f>_xll.BDP("SMCI UW Equity","LAST_PRICE")</f>
        <v>44.16</v>
      </c>
      <c r="C417">
        <f>_xll.BDP("SMCI UW Equity","LAST_PRICE")</f>
        <v>44.16</v>
      </c>
      <c r="D417">
        <f>_xll.BDP("SMCI UW Equity","LAST_PRICE")</f>
        <v>44.16</v>
      </c>
      <c r="E417">
        <f>_xll.BDP("SMCI UW Equity","LAST_PRICE")</f>
        <v>44.16</v>
      </c>
      <c r="F417">
        <f>_xll.BDP("SMCI UW Equity","RT_PX_CHG_PCT_1D")</f>
        <v>0.52359998226165771</v>
      </c>
      <c r="G417">
        <f>_xll.BDP("SMCI UW Equity","REALTIME_5_DAY_CHANGE_PERCENT")</f>
        <v>5.1429</v>
      </c>
      <c r="H417">
        <f>_xll.BDP("SMCI UW Equity","CHG_PCT_1M_RT")</f>
        <v>80.097899999999996</v>
      </c>
      <c r="I417">
        <f>_xll.BDP("SMCI UW Equity","CHG_PCT_3M_RT")</f>
        <v>7.7415000000000003</v>
      </c>
      <c r="J417">
        <f>_xll.BDP("SMCI UW Equity","CHG_PCT_YTD_RT")</f>
        <v>55.350700000000003</v>
      </c>
    </row>
    <row r="418" spans="1:10" x14ac:dyDescent="0.25">
      <c r="A418" t="s">
        <v>425</v>
      </c>
      <c r="B418">
        <f>_xll.BDP("SNA UN Equity","LAST_PRICE")</f>
        <v>354.6</v>
      </c>
      <c r="C418">
        <f>_xll.BDP("SNA UN Equity","LAST_PRICE")</f>
        <v>354.6</v>
      </c>
      <c r="D418">
        <f>_xll.BDP("SNA UN Equity","LAST_PRICE")</f>
        <v>354.6</v>
      </c>
      <c r="E418">
        <f>_xll.BDP("SNA UN Equity","LAST_PRICE")</f>
        <v>354.6</v>
      </c>
      <c r="F418">
        <f>_xll.BDP("SNA UN Equity","RT_PX_CHG_PCT_1D")</f>
        <v>-0.88599997758865356</v>
      </c>
      <c r="G418">
        <f>_xll.BDP("SNA UN Equity","REALTIME_5_DAY_CHANGE_PERCENT")</f>
        <v>-3.3471000000000002</v>
      </c>
      <c r="H418">
        <f>_xll.BDP("SNA UN Equity","CHG_PCT_1M_RT")</f>
        <v>-1.2999000000000001</v>
      </c>
      <c r="I418">
        <f>_xll.BDP("SNA UN Equity","CHG_PCT_3M_RT")</f>
        <v>28.005199999999999</v>
      </c>
      <c r="J418">
        <f>_xll.BDP("SNA UN Equity","CHG_PCT_YTD_RT")</f>
        <v>22.7669</v>
      </c>
    </row>
    <row r="419" spans="1:10" x14ac:dyDescent="0.25">
      <c r="A419" t="s">
        <v>426</v>
      </c>
      <c r="B419">
        <f>_xll.BDP("SNPS UW Equity","LAST_PRICE")</f>
        <v>508.49</v>
      </c>
      <c r="C419">
        <f>_xll.BDP("SNPS UW Equity","LAST_PRICE")</f>
        <v>508.49</v>
      </c>
      <c r="D419">
        <f>_xll.BDP("SNPS UW Equity","LAST_PRICE")</f>
        <v>508.49</v>
      </c>
      <c r="E419">
        <f>_xll.BDP("SNPS UW Equity","LAST_PRICE")</f>
        <v>508.49</v>
      </c>
      <c r="F419">
        <f>_xll.BDP("SNPS UW Equity","RT_PX_CHG_PCT_1D")</f>
        <v>-1.6993000507354736</v>
      </c>
      <c r="G419">
        <f>_xll.BDP("SNPS UW Equity","REALTIME_5_DAY_CHANGE_PERCENT")</f>
        <v>-10.149699999999999</v>
      </c>
      <c r="H419">
        <f>_xll.BDP("SNPS UW Equity","CHG_PCT_1M_RT")</f>
        <v>-9.4488000000000003</v>
      </c>
      <c r="I419">
        <f>_xll.BDP("SNPS UW Equity","CHG_PCT_3M_RT")</f>
        <v>9.5505999999999993</v>
      </c>
      <c r="J419">
        <f>_xll.BDP("SNPS UW Equity","CHG_PCT_YTD_RT")</f>
        <v>-1.2467999999999999</v>
      </c>
    </row>
    <row r="420" spans="1:10" x14ac:dyDescent="0.25">
      <c r="A420" t="s">
        <v>427</v>
      </c>
      <c r="B420">
        <f>_xll.BDP("SO UN Equity","LAST_PRICE")</f>
        <v>84.31</v>
      </c>
      <c r="C420">
        <f>_xll.BDP("SO UN Equity","LAST_PRICE")</f>
        <v>84.31</v>
      </c>
      <c r="D420">
        <f>_xll.BDP("SO UN Equity","LAST_PRICE")</f>
        <v>84.31</v>
      </c>
      <c r="E420">
        <f>_xll.BDP("SO UN Equity","LAST_PRICE")</f>
        <v>84.31</v>
      </c>
      <c r="F420">
        <f>_xll.BDP("SO UN Equity","RT_PX_CHG_PCT_1D")</f>
        <v>-0.58960002660751343</v>
      </c>
      <c r="G420">
        <f>_xll.BDP("SO UN Equity","REALTIME_5_DAY_CHANGE_PERCENT")</f>
        <v>-3.9420999999999999</v>
      </c>
      <c r="H420">
        <f>_xll.BDP("SO UN Equity","CHG_PCT_1M_RT")</f>
        <v>-4.8849</v>
      </c>
      <c r="I420">
        <f>_xll.BDP("SO UN Equity","CHG_PCT_3M_RT")</f>
        <v>-5.609</v>
      </c>
      <c r="J420">
        <f>_xll.BDP("SO UN Equity","CHG_PCT_YTD_RT")</f>
        <v>20.236699999999999</v>
      </c>
    </row>
    <row r="421" spans="1:10" x14ac:dyDescent="0.25">
      <c r="A421" t="s">
        <v>428</v>
      </c>
      <c r="B421">
        <f>_xll.BDP("SOLV UN Equity","LAST_PRICE")</f>
        <v>70.63</v>
      </c>
      <c r="C421">
        <f>_xll.BDP("SOLV UN Equity","LAST_PRICE")</f>
        <v>70.63</v>
      </c>
      <c r="D421">
        <f>_xll.BDP("SOLV UN Equity","LAST_PRICE")</f>
        <v>70.63</v>
      </c>
      <c r="E421">
        <f>_xll.BDP("SOLV UN Equity","LAST_PRICE")</f>
        <v>70.63</v>
      </c>
      <c r="F421">
        <f>_xll.BDP("SOLV UN Equity","RT_PX_CHG_PCT_1D")</f>
        <v>0.95770001411437988</v>
      </c>
      <c r="G421">
        <f>_xll.BDP("SOLV UN Equity","REALTIME_5_DAY_CHANGE_PERCENT")</f>
        <v>-1.8892</v>
      </c>
      <c r="H421">
        <f>_xll.BDP("SOLV UN Equity","CHG_PCT_1M_RT")</f>
        <v>-2.4851999999999999</v>
      </c>
      <c r="I421">
        <f>_xll.BDP("SOLV UN Equity","CHG_PCT_3M_RT")</f>
        <v>5.3707000000000003</v>
      </c>
      <c r="J421" t="str">
        <f>_xll.BDP("SOLV UN Equity","CHG_PCT_YTD_RT")</f>
        <v>#N/A N/A</v>
      </c>
    </row>
    <row r="422" spans="1:10" x14ac:dyDescent="0.25">
      <c r="A422" t="s">
        <v>429</v>
      </c>
      <c r="B422">
        <f>_xll.BDP("SPG UN Equity","LAST_PRICE")</f>
        <v>182.11</v>
      </c>
      <c r="C422">
        <f>_xll.BDP("SPG UN Equity","LAST_PRICE")</f>
        <v>182.11</v>
      </c>
      <c r="D422">
        <f>_xll.BDP("SPG UN Equity","LAST_PRICE")</f>
        <v>182.11</v>
      </c>
      <c r="E422">
        <f>_xll.BDP("SPG UN Equity","LAST_PRICE")</f>
        <v>182.11</v>
      </c>
      <c r="F422">
        <f>_xll.BDP("SPG UN Equity","RT_PX_CHG_PCT_1D")</f>
        <v>0.20360000431537628</v>
      </c>
      <c r="G422">
        <f>_xll.BDP("SPG UN Equity","REALTIME_5_DAY_CHANGE_PERCENT")</f>
        <v>0.40799999999999997</v>
      </c>
      <c r="H422">
        <f>_xll.BDP("SPG UN Equity","CHG_PCT_1M_RT")</f>
        <v>1.7261</v>
      </c>
      <c r="I422">
        <f>_xll.BDP("SPG UN Equity","CHG_PCT_3M_RT")</f>
        <v>12.462199999999999</v>
      </c>
      <c r="J422">
        <f>_xll.BDP("SPG UN Equity","CHG_PCT_YTD_RT")</f>
        <v>27.671099999999999</v>
      </c>
    </row>
    <row r="423" spans="1:10" x14ac:dyDescent="0.25">
      <c r="A423" t="s">
        <v>430</v>
      </c>
      <c r="B423">
        <f>_xll.BDP("SPGI UN Equity","LAST_PRICE")</f>
        <v>513.35</v>
      </c>
      <c r="C423">
        <f>_xll.BDP("SPGI UN Equity","LAST_PRICE")</f>
        <v>513.35</v>
      </c>
      <c r="D423">
        <f>_xll.BDP("SPGI UN Equity","LAST_PRICE")</f>
        <v>513.35</v>
      </c>
      <c r="E423">
        <f>_xll.BDP("SPGI UN Equity","LAST_PRICE")</f>
        <v>513.35</v>
      </c>
      <c r="F423">
        <f>_xll.BDP("SPGI UN Equity","RT_PX_CHG_PCT_1D")</f>
        <v>-0.66180002689361572</v>
      </c>
      <c r="G423">
        <f>_xll.BDP("SPGI UN Equity","REALTIME_5_DAY_CHANGE_PERCENT")</f>
        <v>-1.8207</v>
      </c>
      <c r="H423">
        <f>_xll.BDP("SPGI UN Equity","CHG_PCT_1M_RT")</f>
        <v>2.0941999999999998</v>
      </c>
      <c r="I423">
        <f>_xll.BDP("SPGI UN Equity","CHG_PCT_3M_RT")</f>
        <v>-0.48080000000000001</v>
      </c>
      <c r="J423">
        <f>_xll.BDP("SPGI UN Equity","CHG_PCT_YTD_RT")</f>
        <v>16.532699999999998</v>
      </c>
    </row>
    <row r="424" spans="1:10" x14ac:dyDescent="0.25">
      <c r="A424" t="s">
        <v>431</v>
      </c>
      <c r="B424">
        <f>_xll.BDP("SRE UN Equity","LAST_PRICE")</f>
        <v>88.78</v>
      </c>
      <c r="C424">
        <f>_xll.BDP("SRE UN Equity","LAST_PRICE")</f>
        <v>88.78</v>
      </c>
      <c r="D424">
        <f>_xll.BDP("SRE UN Equity","LAST_PRICE")</f>
        <v>88.78</v>
      </c>
      <c r="E424">
        <f>_xll.BDP("SRE UN Equity","LAST_PRICE")</f>
        <v>88.78</v>
      </c>
      <c r="F424">
        <f>_xll.BDP("SRE UN Equity","RT_PX_CHG_PCT_1D")</f>
        <v>-0.91519999504089355</v>
      </c>
      <c r="G424">
        <f>_xll.BDP("SRE UN Equity","REALTIME_5_DAY_CHANGE_PERCENT")</f>
        <v>-3.6048</v>
      </c>
      <c r="H424">
        <f>_xll.BDP("SRE UN Equity","CHG_PCT_1M_RT")</f>
        <v>-2.7067999999999999</v>
      </c>
      <c r="I424">
        <f>_xll.BDP("SRE UN Equity","CHG_PCT_3M_RT")</f>
        <v>7.0411999999999999</v>
      </c>
      <c r="J424">
        <f>_xll.BDP("SRE UN Equity","CHG_PCT_YTD_RT")</f>
        <v>18.800999999999998</v>
      </c>
    </row>
    <row r="425" spans="1:10" x14ac:dyDescent="0.25">
      <c r="A425" t="s">
        <v>432</v>
      </c>
      <c r="B425">
        <f>_xll.BDP("STE UN Equity","LAST_PRICE")</f>
        <v>215.63</v>
      </c>
      <c r="C425">
        <f>_xll.BDP("STE UN Equity","LAST_PRICE")</f>
        <v>215.63</v>
      </c>
      <c r="D425">
        <f>_xll.BDP("STE UN Equity","LAST_PRICE")</f>
        <v>215.63</v>
      </c>
      <c r="E425">
        <f>_xll.BDP("STE UN Equity","LAST_PRICE")</f>
        <v>215.63</v>
      </c>
      <c r="F425">
        <f>_xll.BDP("STE UN Equity","RT_PX_CHG_PCT_1D")</f>
        <v>-0.12039999663829803</v>
      </c>
      <c r="G425">
        <f>_xll.BDP("STE UN Equity","REALTIME_5_DAY_CHANGE_PERCENT")</f>
        <v>-1.4758</v>
      </c>
      <c r="H425">
        <f>_xll.BDP("STE UN Equity","CHG_PCT_1M_RT")</f>
        <v>-1.6242000000000001</v>
      </c>
      <c r="I425">
        <f>_xll.BDP("STE UN Equity","CHG_PCT_3M_RT")</f>
        <v>-12.167</v>
      </c>
      <c r="J425">
        <f>_xll.BDP("STE UN Equity","CHG_PCT_YTD_RT")</f>
        <v>-1.9195</v>
      </c>
    </row>
    <row r="426" spans="1:10" x14ac:dyDescent="0.25">
      <c r="A426" t="s">
        <v>433</v>
      </c>
      <c r="B426">
        <f>_xll.BDP("STLD UW Equity","LAST_PRICE")</f>
        <v>138.25</v>
      </c>
      <c r="C426">
        <f>_xll.BDP("STLD UW Equity","LAST_PRICE")</f>
        <v>138.25</v>
      </c>
      <c r="D426">
        <f>_xll.BDP("STLD UW Equity","LAST_PRICE")</f>
        <v>138.25</v>
      </c>
      <c r="E426">
        <f>_xll.BDP("STLD UW Equity","LAST_PRICE")</f>
        <v>138.25</v>
      </c>
      <c r="F426">
        <f>_xll.BDP("STLD UW Equity","RT_PX_CHG_PCT_1D")</f>
        <v>0.98610001802444458</v>
      </c>
      <c r="G426">
        <f>_xll.BDP("STLD UW Equity","REALTIME_5_DAY_CHANGE_PERCENT")</f>
        <v>-4.5301</v>
      </c>
      <c r="H426">
        <f>_xll.BDP("STLD UW Equity","CHG_PCT_1M_RT")</f>
        <v>-6.9337</v>
      </c>
      <c r="I426">
        <f>_xll.BDP("STLD UW Equity","CHG_PCT_3M_RT")</f>
        <v>24.841999999999999</v>
      </c>
      <c r="J426">
        <f>_xll.BDP("STLD UW Equity","CHG_PCT_YTD_RT")</f>
        <v>17.061800000000002</v>
      </c>
    </row>
    <row r="427" spans="1:10" x14ac:dyDescent="0.25">
      <c r="A427" t="s">
        <v>434</v>
      </c>
      <c r="B427">
        <f>_xll.BDP("STT UN Equity","LAST_PRICE")</f>
        <v>99.43</v>
      </c>
      <c r="C427">
        <f>_xll.BDP("STT UN Equity","LAST_PRICE")</f>
        <v>99.43</v>
      </c>
      <c r="D427">
        <f>_xll.BDP("STT UN Equity","LAST_PRICE")</f>
        <v>99.43</v>
      </c>
      <c r="E427">
        <f>_xll.BDP("STT UN Equity","LAST_PRICE")</f>
        <v>99.43</v>
      </c>
      <c r="F427">
        <f>_xll.BDP("STT UN Equity","RT_PX_CHG_PCT_1D")</f>
        <v>1.0364999771118164</v>
      </c>
      <c r="G427">
        <f>_xll.BDP("STT UN Equity","REALTIME_5_DAY_CHANGE_PERCENT")</f>
        <v>1.4280999999999999</v>
      </c>
      <c r="H427">
        <f>_xll.BDP("STT UN Equity","CHG_PCT_1M_RT")</f>
        <v>4.9061000000000003</v>
      </c>
      <c r="I427">
        <f>_xll.BDP("STT UN Equity","CHG_PCT_3M_RT")</f>
        <v>18.850100000000001</v>
      </c>
      <c r="J427">
        <f>_xll.BDP("STT UN Equity","CHG_PCT_YTD_RT")</f>
        <v>28.363</v>
      </c>
    </row>
    <row r="428" spans="1:10" x14ac:dyDescent="0.25">
      <c r="A428" t="s">
        <v>435</v>
      </c>
      <c r="B428">
        <f>_xll.BDP("STX UW Equity","LAST_PRICE")</f>
        <v>98.97</v>
      </c>
      <c r="C428">
        <f>_xll.BDP("STX UW Equity","LAST_PRICE")</f>
        <v>98.97</v>
      </c>
      <c r="D428">
        <f>_xll.BDP("STX UW Equity","LAST_PRICE")</f>
        <v>98.97</v>
      </c>
      <c r="E428">
        <f>_xll.BDP("STX UW Equity","LAST_PRICE")</f>
        <v>98.97</v>
      </c>
      <c r="F428">
        <f>_xll.BDP("STX UW Equity","RT_PX_CHG_PCT_1D")</f>
        <v>0.46700000762939453</v>
      </c>
      <c r="G428">
        <f>_xll.BDP("STX UW Equity","REALTIME_5_DAY_CHANGE_PERCENT")</f>
        <v>-4.0617000000000001</v>
      </c>
      <c r="H428">
        <f>_xll.BDP("STX UW Equity","CHG_PCT_1M_RT")</f>
        <v>-5.5449999999999999</v>
      </c>
      <c r="I428">
        <f>_xll.BDP("STX UW Equity","CHG_PCT_3M_RT")</f>
        <v>-2.3386999999999998</v>
      </c>
      <c r="J428">
        <f>_xll.BDP("STX UW Equity","CHG_PCT_YTD_RT")</f>
        <v>15.9307</v>
      </c>
    </row>
    <row r="429" spans="1:10" x14ac:dyDescent="0.25">
      <c r="A429" t="s">
        <v>436</v>
      </c>
      <c r="B429">
        <f>_xll.BDP("STZ UN Equity","LAST_PRICE")</f>
        <v>244.31</v>
      </c>
      <c r="C429">
        <f>_xll.BDP("STZ UN Equity","LAST_PRICE")</f>
        <v>244.31</v>
      </c>
      <c r="D429">
        <f>_xll.BDP("STZ UN Equity","LAST_PRICE")</f>
        <v>244.31</v>
      </c>
      <c r="E429">
        <f>_xll.BDP("STZ UN Equity","LAST_PRICE")</f>
        <v>244.31</v>
      </c>
      <c r="F429">
        <f>_xll.BDP("STZ UN Equity","RT_PX_CHG_PCT_1D")</f>
        <v>2.2218000888824463</v>
      </c>
      <c r="G429">
        <f>_xll.BDP("STZ UN Equity","REALTIME_5_DAY_CHANGE_PERCENT")</f>
        <v>2.7549000000000001</v>
      </c>
      <c r="H429">
        <f>_xll.BDP("STZ UN Equity","CHG_PCT_1M_RT")</f>
        <v>4.2366999999999999</v>
      </c>
      <c r="I429">
        <f>_xll.BDP("STZ UN Equity","CHG_PCT_3M_RT")</f>
        <v>-2.6227</v>
      </c>
      <c r="J429">
        <f>_xll.BDP("STZ UN Equity","CHG_PCT_YTD_RT")</f>
        <v>1.0589</v>
      </c>
    </row>
    <row r="430" spans="1:10" x14ac:dyDescent="0.25">
      <c r="A430" t="s">
        <v>437</v>
      </c>
      <c r="B430">
        <f>_xll.BDP("SW UN Equity","LAST_PRICE")</f>
        <v>54.34</v>
      </c>
      <c r="C430">
        <f>_xll.BDP("SW UN Equity","LAST_PRICE")</f>
        <v>54.34</v>
      </c>
      <c r="D430">
        <f>_xll.BDP("SW UN Equity","LAST_PRICE")</f>
        <v>54.34</v>
      </c>
      <c r="E430">
        <f>_xll.BDP("SW UN Equity","LAST_PRICE")</f>
        <v>54.34</v>
      </c>
      <c r="F430">
        <f>_xll.BDP("SW UN Equity","RT_PX_CHG_PCT_1D")</f>
        <v>-0.49439999461174011</v>
      </c>
      <c r="G430">
        <f>_xll.BDP("SW UN Equity","REALTIME_5_DAY_CHANGE_PERCENT")</f>
        <v>-1.3972</v>
      </c>
      <c r="H430">
        <f>_xll.BDP("SW UN Equity","CHG_PCT_1M_RT")</f>
        <v>3.7221000000000002</v>
      </c>
      <c r="I430">
        <f>_xll.BDP("SW UN Equity","CHG_PCT_3M_RT")</f>
        <v>22.194700000000001</v>
      </c>
      <c r="J430" t="str">
        <f>_xll.BDP("SW UN Equity","CHG_PCT_YTD_RT")</f>
        <v>#N/A N/A</v>
      </c>
    </row>
    <row r="431" spans="1:10" x14ac:dyDescent="0.25">
      <c r="A431" t="s">
        <v>438</v>
      </c>
      <c r="B431">
        <f>_xll.BDP("SWK UN Equity","LAST_PRICE")</f>
        <v>85.8</v>
      </c>
      <c r="C431">
        <f>_xll.BDP("SWK UN Equity","LAST_PRICE")</f>
        <v>85.8</v>
      </c>
      <c r="D431">
        <f>_xll.BDP("SWK UN Equity","LAST_PRICE")</f>
        <v>85.8</v>
      </c>
      <c r="E431">
        <f>_xll.BDP("SWK UN Equity","LAST_PRICE")</f>
        <v>85.8</v>
      </c>
      <c r="F431">
        <f>_xll.BDP("SWK UN Equity","RT_PX_CHG_PCT_1D")</f>
        <v>1.5865000486373901</v>
      </c>
      <c r="G431">
        <f>_xll.BDP("SWK UN Equity","REALTIME_5_DAY_CHANGE_PERCENT")</f>
        <v>-3.6713</v>
      </c>
      <c r="H431">
        <f>_xll.BDP("SWK UN Equity","CHG_PCT_1M_RT")</f>
        <v>-4.8464</v>
      </c>
      <c r="I431">
        <f>_xll.BDP("SWK UN Equity","CHG_PCT_3M_RT")</f>
        <v>-10.801500000000001</v>
      </c>
      <c r="J431">
        <f>_xll.BDP("SWK UN Equity","CHG_PCT_YTD_RT")</f>
        <v>-12.5382</v>
      </c>
    </row>
    <row r="432" spans="1:10" x14ac:dyDescent="0.25">
      <c r="A432" t="s">
        <v>439</v>
      </c>
      <c r="B432">
        <f>_xll.BDP("SWKS UW Equity","LAST_PRICE")</f>
        <v>89.67</v>
      </c>
      <c r="C432">
        <f>_xll.BDP("SWKS UW Equity","LAST_PRICE")</f>
        <v>89.67</v>
      </c>
      <c r="D432">
        <f>_xll.BDP("SWKS UW Equity","LAST_PRICE")</f>
        <v>89.67</v>
      </c>
      <c r="E432">
        <f>_xll.BDP("SWKS UW Equity","LAST_PRICE")</f>
        <v>89.67</v>
      </c>
      <c r="F432">
        <f>_xll.BDP("SWKS UW Equity","RT_PX_CHG_PCT_1D")</f>
        <v>2.0485000610351563</v>
      </c>
      <c r="G432">
        <f>_xll.BDP("SWKS UW Equity","REALTIME_5_DAY_CHANGE_PERCENT")</f>
        <v>1.3334999999999999</v>
      </c>
      <c r="H432">
        <f>_xll.BDP("SWKS UW Equity","CHG_PCT_1M_RT")</f>
        <v>0.57199999999999995</v>
      </c>
      <c r="I432">
        <f>_xll.BDP("SWKS UW Equity","CHG_PCT_3M_RT")</f>
        <v>-10.1593</v>
      </c>
      <c r="J432">
        <f>_xll.BDP("SWKS UW Equity","CHG_PCT_YTD_RT")</f>
        <v>-20.236599999999999</v>
      </c>
    </row>
    <row r="433" spans="1:10" x14ac:dyDescent="0.25">
      <c r="A433" t="s">
        <v>440</v>
      </c>
      <c r="B433">
        <f>_xll.BDP("SYF UN Equity","LAST_PRICE")</f>
        <v>67.930000000000007</v>
      </c>
      <c r="C433">
        <f>_xll.BDP("SYF UN Equity","LAST_PRICE")</f>
        <v>67.930000000000007</v>
      </c>
      <c r="D433">
        <f>_xll.BDP("SYF UN Equity","LAST_PRICE")</f>
        <v>67.930000000000007</v>
      </c>
      <c r="E433">
        <f>_xll.BDP("SYF UN Equity","LAST_PRICE")</f>
        <v>67.930000000000007</v>
      </c>
      <c r="F433">
        <f>_xll.BDP("SYF UN Equity","RT_PX_CHG_PCT_1D")</f>
        <v>1.4700000174343586E-2</v>
      </c>
      <c r="G433">
        <f>_xll.BDP("SYF UN Equity","REALTIME_5_DAY_CHANGE_PERCENT")</f>
        <v>1.252</v>
      </c>
      <c r="H433">
        <f>_xll.BDP("SYF UN Equity","CHG_PCT_1M_RT")</f>
        <v>6.49</v>
      </c>
      <c r="I433">
        <f>_xll.BDP("SYF UN Equity","CHG_PCT_3M_RT")</f>
        <v>41.0214</v>
      </c>
      <c r="J433">
        <f>_xll.BDP("SYF UN Equity","CHG_PCT_YTD_RT")</f>
        <v>77.873800000000003</v>
      </c>
    </row>
    <row r="434" spans="1:10" x14ac:dyDescent="0.25">
      <c r="A434" t="s">
        <v>441</v>
      </c>
      <c r="B434">
        <f>_xll.BDP("SYK UN Equity","LAST_PRICE")</f>
        <v>381.11</v>
      </c>
      <c r="C434">
        <f>_xll.BDP("SYK UN Equity","LAST_PRICE")</f>
        <v>381.11</v>
      </c>
      <c r="D434">
        <f>_xll.BDP("SYK UN Equity","LAST_PRICE")</f>
        <v>381.11</v>
      </c>
      <c r="E434">
        <f>_xll.BDP("SYK UN Equity","LAST_PRICE")</f>
        <v>381.11</v>
      </c>
      <c r="F434">
        <f>_xll.BDP("SYK UN Equity","RT_PX_CHG_PCT_1D")</f>
        <v>-1.0154999494552612</v>
      </c>
      <c r="G434">
        <f>_xll.BDP("SYK UN Equity","REALTIME_5_DAY_CHANGE_PERCENT")</f>
        <v>-2.1867000000000001</v>
      </c>
      <c r="H434">
        <f>_xll.BDP("SYK UN Equity","CHG_PCT_1M_RT")</f>
        <v>1.3697999999999999</v>
      </c>
      <c r="I434">
        <f>_xll.BDP("SYK UN Equity","CHG_PCT_3M_RT")</f>
        <v>5.0526</v>
      </c>
      <c r="J434">
        <f>_xll.BDP("SYK UN Equity","CHG_PCT_YTD_RT")</f>
        <v>27.265699999999999</v>
      </c>
    </row>
    <row r="435" spans="1:10" x14ac:dyDescent="0.25">
      <c r="A435" t="s">
        <v>442</v>
      </c>
      <c r="B435">
        <f>_xll.BDP("SYY UN Equity","LAST_PRICE")</f>
        <v>81.069999999999993</v>
      </c>
      <c r="C435">
        <f>_xll.BDP("SYY UN Equity","LAST_PRICE")</f>
        <v>81.069999999999993</v>
      </c>
      <c r="D435">
        <f>_xll.BDP("SYY UN Equity","LAST_PRICE")</f>
        <v>81.069999999999993</v>
      </c>
      <c r="E435">
        <f>_xll.BDP("SYY UN Equity","LAST_PRICE")</f>
        <v>81.069999999999993</v>
      </c>
      <c r="F435">
        <f>_xll.BDP("SYY UN Equity","RT_PX_CHG_PCT_1D")</f>
        <v>0.42120000720024109</v>
      </c>
      <c r="G435">
        <f>_xll.BDP("SYY UN Equity","REALTIME_5_DAY_CHANGE_PERCENT")</f>
        <v>6.2934000000000001</v>
      </c>
      <c r="H435">
        <f>_xll.BDP("SYY UN Equity","CHG_PCT_1M_RT")</f>
        <v>4.7550999999999997</v>
      </c>
      <c r="I435">
        <f>_xll.BDP("SYY UN Equity","CHG_PCT_3M_RT")</f>
        <v>3.3923999999999999</v>
      </c>
      <c r="J435">
        <f>_xll.BDP("SYY UN Equity","CHG_PCT_YTD_RT")</f>
        <v>10.8574</v>
      </c>
    </row>
    <row r="436" spans="1:10" x14ac:dyDescent="0.25">
      <c r="A436" t="s">
        <v>443</v>
      </c>
      <c r="B436">
        <f>_xll.BDP("T UN Equity","LAST_PRICE")</f>
        <v>23.37</v>
      </c>
      <c r="C436">
        <f>_xll.BDP("T UN Equity","LAST_PRICE")</f>
        <v>23.37</v>
      </c>
      <c r="D436">
        <f>_xll.BDP("T UN Equity","LAST_PRICE")</f>
        <v>23.37</v>
      </c>
      <c r="E436">
        <f>_xll.BDP("T UN Equity","LAST_PRICE")</f>
        <v>23.37</v>
      </c>
      <c r="F436">
        <f>_xll.BDP("T UN Equity","RT_PX_CHG_PCT_1D")</f>
        <v>-2.135699987411499</v>
      </c>
      <c r="G436">
        <f>_xll.BDP("T UN Equity","REALTIME_5_DAY_CHANGE_PERCENT")</f>
        <v>2.9514999999999998</v>
      </c>
      <c r="H436">
        <f>_xll.BDP("T UN Equity","CHG_PCT_1M_RT")</f>
        <v>4.6105999999999998</v>
      </c>
      <c r="I436">
        <f>_xll.BDP("T UN Equity","CHG_PCT_3M_RT")</f>
        <v>8.6976999999999993</v>
      </c>
      <c r="J436">
        <f>_xll.BDP("T UN Equity","CHG_PCT_YTD_RT")</f>
        <v>39.2729</v>
      </c>
    </row>
    <row r="437" spans="1:10" x14ac:dyDescent="0.25">
      <c r="A437" t="s">
        <v>444</v>
      </c>
      <c r="B437">
        <f>_xll.BDP("TAP UN Equity","LAST_PRICE")</f>
        <v>61.57</v>
      </c>
      <c r="C437">
        <f>_xll.BDP("TAP UN Equity","LAST_PRICE")</f>
        <v>61.57</v>
      </c>
      <c r="D437">
        <f>_xll.BDP("TAP UN Equity","LAST_PRICE")</f>
        <v>61.57</v>
      </c>
      <c r="E437">
        <f>_xll.BDP("TAP UN Equity","LAST_PRICE")</f>
        <v>61.57</v>
      </c>
      <c r="F437">
        <f>_xll.BDP("TAP UN Equity","RT_PX_CHG_PCT_1D")</f>
        <v>0.71979999542236328</v>
      </c>
      <c r="G437">
        <f>_xll.BDP("TAP UN Equity","REALTIME_5_DAY_CHANGE_PERCENT")</f>
        <v>-0.38829999999999998</v>
      </c>
      <c r="H437">
        <f>_xll.BDP("TAP UN Equity","CHG_PCT_1M_RT")</f>
        <v>3.3746999999999998</v>
      </c>
      <c r="I437">
        <f>_xll.BDP("TAP UN Equity","CHG_PCT_3M_RT")</f>
        <v>10.064399999999999</v>
      </c>
      <c r="J437">
        <f>_xll.BDP("TAP UN Equity","CHG_PCT_YTD_RT")</f>
        <v>0.58809999999999996</v>
      </c>
    </row>
    <row r="438" spans="1:10" x14ac:dyDescent="0.25">
      <c r="A438" t="s">
        <v>445</v>
      </c>
      <c r="B438">
        <f>_xll.BDP("TDG UN Equity","LAST_PRICE")</f>
        <v>1258.49</v>
      </c>
      <c r="C438">
        <f>_xll.BDP("TDG UN Equity","LAST_PRICE")</f>
        <v>1258.49</v>
      </c>
      <c r="D438">
        <f>_xll.BDP("TDG UN Equity","LAST_PRICE")</f>
        <v>1258.49</v>
      </c>
      <c r="E438">
        <f>_xll.BDP("TDG UN Equity","LAST_PRICE")</f>
        <v>1258.49</v>
      </c>
      <c r="F438">
        <f>_xll.BDP("TDG UN Equity","RT_PX_CHG_PCT_1D")</f>
        <v>-1.6196999549865723</v>
      </c>
      <c r="G438">
        <f>_xll.BDP("TDG UN Equity","REALTIME_5_DAY_CHANGE_PERCENT")</f>
        <v>-0.15709999999999999</v>
      </c>
      <c r="H438">
        <f>_xll.BDP("TDG UN Equity","CHG_PCT_1M_RT")</f>
        <v>-6.8460999999999999</v>
      </c>
      <c r="I438">
        <f>_xll.BDP("TDG UN Equity","CHG_PCT_3M_RT")</f>
        <v>1.9912000000000001</v>
      </c>
      <c r="J438">
        <f>_xll.BDP("TDG UN Equity","CHG_PCT_YTD_RT")</f>
        <v>31.347200000000001</v>
      </c>
    </row>
    <row r="439" spans="1:10" x14ac:dyDescent="0.25">
      <c r="A439" t="s">
        <v>446</v>
      </c>
      <c r="B439">
        <f>_xll.BDP("TDY UN Equity","LAST_PRICE")</f>
        <v>470.74</v>
      </c>
      <c r="C439">
        <f>_xll.BDP("TDY UN Equity","LAST_PRICE")</f>
        <v>470.74</v>
      </c>
      <c r="D439">
        <f>_xll.BDP("TDY UN Equity","LAST_PRICE")</f>
        <v>470.74</v>
      </c>
      <c r="E439">
        <f>_xll.BDP("TDY UN Equity","LAST_PRICE")</f>
        <v>470.74</v>
      </c>
      <c r="F439">
        <f>_xll.BDP("TDY UN Equity","RT_PX_CHG_PCT_1D")</f>
        <v>-0.59340000152587891</v>
      </c>
      <c r="G439">
        <f>_xll.BDP("TDY UN Equity","REALTIME_5_DAY_CHANGE_PERCENT")</f>
        <v>-1.9496</v>
      </c>
      <c r="H439">
        <f>_xll.BDP("TDY UN Equity","CHG_PCT_1M_RT")</f>
        <v>-3.7814000000000001</v>
      </c>
      <c r="I439">
        <f>_xll.BDP("TDY UN Equity","CHG_PCT_3M_RT")</f>
        <v>10.955500000000001</v>
      </c>
      <c r="J439">
        <f>_xll.BDP("TDY UN Equity","CHG_PCT_YTD_RT")</f>
        <v>5.4785000000000004</v>
      </c>
    </row>
    <row r="440" spans="1:10" x14ac:dyDescent="0.25">
      <c r="A440" t="s">
        <v>447</v>
      </c>
      <c r="B440">
        <f>_xll.BDP("TECH UW Equity","LAST_PRICE")</f>
        <v>77.400000000000006</v>
      </c>
      <c r="C440">
        <f>_xll.BDP("TECH UW Equity","LAST_PRICE")</f>
        <v>77.400000000000006</v>
      </c>
      <c r="D440">
        <f>_xll.BDP("TECH UW Equity","LAST_PRICE")</f>
        <v>77.400000000000006</v>
      </c>
      <c r="E440">
        <f>_xll.BDP("TECH UW Equity","LAST_PRICE")</f>
        <v>77.400000000000006</v>
      </c>
      <c r="F440">
        <f>_xll.BDP("TECH UW Equity","RT_PX_CHG_PCT_1D")</f>
        <v>3.8787000179290771</v>
      </c>
      <c r="G440">
        <f>_xll.BDP("TECH UW Equity","REALTIME_5_DAY_CHANGE_PERCENT")</f>
        <v>1.8152999999999999</v>
      </c>
      <c r="H440">
        <f>_xll.BDP("TECH UW Equity","CHG_PCT_1M_RT")</f>
        <v>1.8956999999999999</v>
      </c>
      <c r="I440">
        <f>_xll.BDP("TECH UW Equity","CHG_PCT_3M_RT")</f>
        <v>7.3658000000000001</v>
      </c>
      <c r="J440">
        <f>_xll.BDP("TECH UW Equity","CHG_PCT_YTD_RT")</f>
        <v>0.311</v>
      </c>
    </row>
    <row r="441" spans="1:10" x14ac:dyDescent="0.25">
      <c r="A441" t="s">
        <v>448</v>
      </c>
      <c r="B441">
        <f>_xll.BDP("TEL UN Equity","LAST_PRICE")</f>
        <v>151.5</v>
      </c>
      <c r="C441">
        <f>_xll.BDP("TEL UN Equity","LAST_PRICE")</f>
        <v>151.5</v>
      </c>
      <c r="D441">
        <f>_xll.BDP("TEL UN Equity","LAST_PRICE")</f>
        <v>151.5</v>
      </c>
      <c r="E441">
        <f>_xll.BDP("TEL UN Equity","LAST_PRICE")</f>
        <v>151.5</v>
      </c>
      <c r="F441">
        <f>_xll.BDP("TEL UN Equity","RT_PX_CHG_PCT_1D")</f>
        <v>-0.59060001373291016</v>
      </c>
      <c r="G441">
        <f>_xll.BDP("TEL UN Equity","REALTIME_5_DAY_CHANGE_PERCENT")</f>
        <v>-1.8337000000000001</v>
      </c>
      <c r="H441">
        <f>_xll.BDP("TEL UN Equity","CHG_PCT_1M_RT")</f>
        <v>-2.2959000000000001</v>
      </c>
      <c r="I441">
        <f>_xll.BDP("TEL UN Equity","CHG_PCT_3M_RT")</f>
        <v>4.6125999999999996</v>
      </c>
      <c r="J441">
        <f>_xll.BDP("TEL UN Equity","CHG_PCT_YTD_RT")</f>
        <v>7.8292000000000002</v>
      </c>
    </row>
    <row r="442" spans="1:10" x14ac:dyDescent="0.25">
      <c r="A442" t="s">
        <v>449</v>
      </c>
      <c r="B442">
        <f>_xll.BDP("TER UW Equity","LAST_PRICE")</f>
        <v>119.56</v>
      </c>
      <c r="C442">
        <f>_xll.BDP("TER UW Equity","LAST_PRICE")</f>
        <v>119.56</v>
      </c>
      <c r="D442">
        <f>_xll.BDP("TER UW Equity","LAST_PRICE")</f>
        <v>119.56</v>
      </c>
      <c r="E442">
        <f>_xll.BDP("TER UW Equity","LAST_PRICE")</f>
        <v>119.56</v>
      </c>
      <c r="F442">
        <f>_xll.BDP("TER UW Equity","RT_PX_CHG_PCT_1D")</f>
        <v>0.88599997758865356</v>
      </c>
      <c r="G442">
        <f>_xll.BDP("TER UW Equity","REALTIME_5_DAY_CHANGE_PERCENT")</f>
        <v>5.6184000000000003</v>
      </c>
      <c r="H442">
        <f>_xll.BDP("TER UW Equity","CHG_PCT_1M_RT")</f>
        <v>7.8186</v>
      </c>
      <c r="I442">
        <f>_xll.BDP("TER UW Equity","CHG_PCT_3M_RT")</f>
        <v>-3.7359</v>
      </c>
      <c r="J442">
        <f>_xll.BDP("TER UW Equity","CHG_PCT_YTD_RT")</f>
        <v>10.1732</v>
      </c>
    </row>
    <row r="443" spans="1:10" x14ac:dyDescent="0.25">
      <c r="A443" t="s">
        <v>450</v>
      </c>
      <c r="B443">
        <f>_xll.BDP("TFC UN Equity","LAST_PRICE")</f>
        <v>46.8</v>
      </c>
      <c r="C443">
        <f>_xll.BDP("TFC UN Equity","LAST_PRICE")</f>
        <v>46.8</v>
      </c>
      <c r="D443">
        <f>_xll.BDP("TFC UN Equity","LAST_PRICE")</f>
        <v>46.8</v>
      </c>
      <c r="E443">
        <f>_xll.BDP("TFC UN Equity","LAST_PRICE")</f>
        <v>46.8</v>
      </c>
      <c r="F443">
        <f>_xll.BDP("TFC UN Equity","RT_PX_CHG_PCT_1D")</f>
        <v>-0.97329998016357422</v>
      </c>
      <c r="G443">
        <f>_xll.BDP("TFC UN Equity","REALTIME_5_DAY_CHANGE_PERCENT")</f>
        <v>-0.3831</v>
      </c>
      <c r="H443">
        <f>_xll.BDP("TFC UN Equity","CHG_PCT_1M_RT")</f>
        <v>3.4940000000000002</v>
      </c>
      <c r="I443">
        <f>_xll.BDP("TFC UN Equity","CHG_PCT_3M_RT")</f>
        <v>9.8591999999999995</v>
      </c>
      <c r="J443">
        <f>_xll.BDP("TFC UN Equity","CHG_PCT_YTD_RT")</f>
        <v>26.7606</v>
      </c>
    </row>
    <row r="444" spans="1:10" x14ac:dyDescent="0.25">
      <c r="A444" t="s">
        <v>451</v>
      </c>
      <c r="B444">
        <f>_xll.BDP("TFX UN Equity","LAST_PRICE")</f>
        <v>187.04</v>
      </c>
      <c r="C444">
        <f>_xll.BDP("TFX UN Equity","LAST_PRICE")</f>
        <v>187.04</v>
      </c>
      <c r="D444">
        <f>_xll.BDP("TFX UN Equity","LAST_PRICE")</f>
        <v>187.04</v>
      </c>
      <c r="E444">
        <f>_xll.BDP("TFX UN Equity","LAST_PRICE")</f>
        <v>187.04</v>
      </c>
      <c r="F444">
        <f>_xll.BDP("TFX UN Equity","RT_PX_CHG_PCT_1D")</f>
        <v>1.2942999601364136</v>
      </c>
      <c r="G444">
        <f>_xll.BDP("TFX UN Equity","REALTIME_5_DAY_CHANGE_PERCENT")</f>
        <v>-3.7414000000000001</v>
      </c>
      <c r="H444">
        <f>_xll.BDP("TFX UN Equity","CHG_PCT_1M_RT")</f>
        <v>-4.3517999999999999</v>
      </c>
      <c r="I444">
        <f>_xll.BDP("TFX UN Equity","CHG_PCT_3M_RT")</f>
        <v>-23.669599999999999</v>
      </c>
      <c r="J444">
        <f>_xll.BDP("TFX UN Equity","CHG_PCT_YTD_RT")</f>
        <v>-24.986000000000001</v>
      </c>
    </row>
    <row r="445" spans="1:10" x14ac:dyDescent="0.25">
      <c r="A445" t="s">
        <v>452</v>
      </c>
      <c r="B445">
        <f>_xll.BDP("TGT UN Equity","LAST_PRICE")</f>
        <v>135.29</v>
      </c>
      <c r="C445">
        <f>_xll.BDP("TGT UN Equity","LAST_PRICE")</f>
        <v>135.29</v>
      </c>
      <c r="D445">
        <f>_xll.BDP("TGT UN Equity","LAST_PRICE")</f>
        <v>135.29</v>
      </c>
      <c r="E445">
        <f>_xll.BDP("TGT UN Equity","LAST_PRICE")</f>
        <v>135.29</v>
      </c>
      <c r="F445">
        <f>_xll.BDP("TGT UN Equity","RT_PX_CHG_PCT_1D")</f>
        <v>2.190500020980835</v>
      </c>
      <c r="G445">
        <f>_xll.BDP("TGT UN Equity","REALTIME_5_DAY_CHANGE_PERCENT")</f>
        <v>3.496</v>
      </c>
      <c r="H445">
        <f>_xll.BDP("TGT UN Equity","CHG_PCT_1M_RT")</f>
        <v>-9.6742000000000008</v>
      </c>
      <c r="I445">
        <f>_xll.BDP("TGT UN Equity","CHG_PCT_3M_RT")</f>
        <v>-10.16</v>
      </c>
      <c r="J445">
        <f>_xll.BDP("TGT UN Equity","CHG_PCT_YTD_RT")</f>
        <v>-5.0063000000000004</v>
      </c>
    </row>
    <row r="446" spans="1:10" x14ac:dyDescent="0.25">
      <c r="A446" t="s">
        <v>453</v>
      </c>
      <c r="B446">
        <f>_xll.BDP("TJX UN Equity","LAST_PRICE")</f>
        <v>125.9</v>
      </c>
      <c r="C446">
        <f>_xll.BDP("TJX UN Equity","LAST_PRICE")</f>
        <v>125.9</v>
      </c>
      <c r="D446">
        <f>_xll.BDP("TJX UN Equity","LAST_PRICE")</f>
        <v>125.9</v>
      </c>
      <c r="E446">
        <f>_xll.BDP("TJX UN Equity","LAST_PRICE")</f>
        <v>125.9</v>
      </c>
      <c r="F446">
        <f>_xll.BDP("TJX UN Equity","RT_PX_CHG_PCT_1D")</f>
        <v>-0.15070000290870667</v>
      </c>
      <c r="G446">
        <f>_xll.BDP("TJX UN Equity","REALTIME_5_DAY_CHANGE_PERCENT")</f>
        <v>-0.2298</v>
      </c>
      <c r="H446">
        <f>_xll.BDP("TJX UN Equity","CHG_PCT_1M_RT")</f>
        <v>6.8489000000000004</v>
      </c>
      <c r="I446">
        <f>_xll.BDP("TJX UN Equity","CHG_PCT_3M_RT")</f>
        <v>7.5425000000000004</v>
      </c>
      <c r="J446">
        <f>_xll.BDP("TJX UN Equity","CHG_PCT_YTD_RT")</f>
        <v>34.2074</v>
      </c>
    </row>
    <row r="447" spans="1:10" x14ac:dyDescent="0.25">
      <c r="A447" t="s">
        <v>454</v>
      </c>
      <c r="B447">
        <f>_xll.BDP("TMO UN Equity","LAST_PRICE")</f>
        <v>537.23</v>
      </c>
      <c r="C447">
        <f>_xll.BDP("TMO UN Equity","LAST_PRICE")</f>
        <v>537.23</v>
      </c>
      <c r="D447">
        <f>_xll.BDP("TMO UN Equity","LAST_PRICE")</f>
        <v>537.23</v>
      </c>
      <c r="E447">
        <f>_xll.BDP("TMO UN Equity","LAST_PRICE")</f>
        <v>537.23</v>
      </c>
      <c r="F447">
        <f>_xll.BDP("TMO UN Equity","RT_PX_CHG_PCT_1D")</f>
        <v>1.4867000579833984</v>
      </c>
      <c r="G447">
        <f>_xll.BDP("TMO UN Equity","REALTIME_5_DAY_CHANGE_PERCENT")</f>
        <v>1.3736999999999999</v>
      </c>
      <c r="H447">
        <f>_xll.BDP("TMO UN Equity","CHG_PCT_1M_RT")</f>
        <v>-2.6299000000000001</v>
      </c>
      <c r="I447">
        <f>_xll.BDP("TMO UN Equity","CHG_PCT_3M_RT")</f>
        <v>-13.4087</v>
      </c>
      <c r="J447">
        <f>_xll.BDP("TMO UN Equity","CHG_PCT_YTD_RT")</f>
        <v>1.2133</v>
      </c>
    </row>
    <row r="448" spans="1:10" x14ac:dyDescent="0.25">
      <c r="A448" t="s">
        <v>455</v>
      </c>
      <c r="B448">
        <f>_xll.BDP("TMUS UW Equity","LAST_PRICE")</f>
        <v>228.86</v>
      </c>
      <c r="C448">
        <f>_xll.BDP("TMUS UW Equity","LAST_PRICE")</f>
        <v>228.86</v>
      </c>
      <c r="D448">
        <f>_xll.BDP("TMUS UW Equity","LAST_PRICE")</f>
        <v>228.86</v>
      </c>
      <c r="E448">
        <f>_xll.BDP("TMUS UW Equity","LAST_PRICE")</f>
        <v>228.86</v>
      </c>
      <c r="F448">
        <f>_xll.BDP("TMUS UW Equity","RT_PX_CHG_PCT_1D")</f>
        <v>-6.1202998161315918</v>
      </c>
      <c r="G448">
        <f>_xll.BDP("TMUS UW Equity","REALTIME_5_DAY_CHANGE_PERCENT")</f>
        <v>-6.5190999999999999</v>
      </c>
      <c r="H448">
        <f>_xll.BDP("TMUS UW Equity","CHG_PCT_1M_RT")</f>
        <v>-2.7410999999999999</v>
      </c>
      <c r="I448">
        <f>_xll.BDP("TMUS UW Equity","CHG_PCT_3M_RT")</f>
        <v>17.183800000000002</v>
      </c>
      <c r="J448">
        <f>_xll.BDP("TMUS UW Equity","CHG_PCT_YTD_RT")</f>
        <v>42.743099999999998</v>
      </c>
    </row>
    <row r="449" spans="1:10" x14ac:dyDescent="0.25">
      <c r="A449" t="s">
        <v>456</v>
      </c>
      <c r="B449">
        <f>_xll.BDP("TPL UN Equity","LAST_PRICE")</f>
        <v>1327.04</v>
      </c>
      <c r="C449">
        <f>_xll.BDP("TPL UN Equity","LAST_PRICE")</f>
        <v>1327.04</v>
      </c>
      <c r="D449">
        <f>_xll.BDP("TPL UN Equity","LAST_PRICE")</f>
        <v>1327.04</v>
      </c>
      <c r="E449">
        <f>_xll.BDP("TPL UN Equity","LAST_PRICE")</f>
        <v>1327.04</v>
      </c>
      <c r="F449">
        <f>_xll.BDP("TPL UN Equity","RT_PX_CHG_PCT_1D")</f>
        <v>-0.85170000791549683</v>
      </c>
      <c r="G449">
        <f>_xll.BDP("TPL UN Equity","REALTIME_5_DAY_CHANGE_PERCENT")</f>
        <v>-11.551299999999999</v>
      </c>
      <c r="H449">
        <f>_xll.BDP("TPL UN Equity","CHG_PCT_1M_RT")</f>
        <v>-3.4220000000000002</v>
      </c>
      <c r="I449">
        <f>_xll.BDP("TPL UN Equity","CHG_PCT_3M_RT")</f>
        <v>67.657200000000003</v>
      </c>
      <c r="J449">
        <f>_xll.BDP("TPL UN Equity","CHG_PCT_YTD_RT")</f>
        <v>156.67590000000001</v>
      </c>
    </row>
    <row r="450" spans="1:10" x14ac:dyDescent="0.25">
      <c r="A450" t="s">
        <v>457</v>
      </c>
      <c r="B450">
        <f>_xll.BDP("TPR UN Equity","LAST_PRICE")</f>
        <v>62.27</v>
      </c>
      <c r="C450">
        <f>_xll.BDP("TPR UN Equity","LAST_PRICE")</f>
        <v>62.27</v>
      </c>
      <c r="D450">
        <f>_xll.BDP("TPR UN Equity","LAST_PRICE")</f>
        <v>62.27</v>
      </c>
      <c r="E450">
        <f>_xll.BDP("TPR UN Equity","LAST_PRICE")</f>
        <v>62.27</v>
      </c>
      <c r="F450">
        <f>_xll.BDP("TPR UN Equity","RT_PX_CHG_PCT_1D")</f>
        <v>3.2099999487400055E-2</v>
      </c>
      <c r="G450">
        <f>_xll.BDP("TPR UN Equity","REALTIME_5_DAY_CHANGE_PERCENT")</f>
        <v>-3.577</v>
      </c>
      <c r="H450">
        <f>_xll.BDP("TPR UN Equity","CHG_PCT_1M_RT")</f>
        <v>19.2455</v>
      </c>
      <c r="I450">
        <f>_xll.BDP("TPR UN Equity","CHG_PCT_3M_RT")</f>
        <v>50.811300000000003</v>
      </c>
      <c r="J450">
        <f>_xll.BDP("TPR UN Equity","CHG_PCT_YTD_RT")</f>
        <v>69.165999999999997</v>
      </c>
    </row>
    <row r="451" spans="1:10" x14ac:dyDescent="0.25">
      <c r="A451" t="s">
        <v>458</v>
      </c>
      <c r="B451">
        <f>_xll.BDP("TRGP UN Equity","LAST_PRICE")</f>
        <v>186.93</v>
      </c>
      <c r="C451">
        <f>_xll.BDP("TRGP UN Equity","LAST_PRICE")</f>
        <v>186.93</v>
      </c>
      <c r="D451">
        <f>_xll.BDP("TRGP UN Equity","LAST_PRICE")</f>
        <v>186.93</v>
      </c>
      <c r="E451">
        <f>_xll.BDP("TRGP UN Equity","LAST_PRICE")</f>
        <v>186.93</v>
      </c>
      <c r="F451">
        <f>_xll.BDP("TRGP UN Equity","RT_PX_CHG_PCT_1D")</f>
        <v>-3.8129000663757324</v>
      </c>
      <c r="G451">
        <f>_xll.BDP("TRGP UN Equity","REALTIME_5_DAY_CHANGE_PERCENT")</f>
        <v>-3.9117999999999999</v>
      </c>
      <c r="H451">
        <f>_xll.BDP("TRGP UN Equity","CHG_PCT_1M_RT")</f>
        <v>-2.7824</v>
      </c>
      <c r="I451">
        <f>_xll.BDP("TRGP UN Equity","CHG_PCT_3M_RT")</f>
        <v>29.875599999999999</v>
      </c>
      <c r="J451">
        <f>_xll.BDP("TRGP UN Equity","CHG_PCT_YTD_RT")</f>
        <v>115.1836</v>
      </c>
    </row>
    <row r="452" spans="1:10" x14ac:dyDescent="0.25">
      <c r="A452" t="s">
        <v>459</v>
      </c>
      <c r="B452">
        <f>_xll.BDP("TRMB UW Equity","LAST_PRICE")</f>
        <v>74.61</v>
      </c>
      <c r="C452">
        <f>_xll.BDP("TRMB UW Equity","LAST_PRICE")</f>
        <v>74.61</v>
      </c>
      <c r="D452">
        <f>_xll.BDP("TRMB UW Equity","LAST_PRICE")</f>
        <v>74.61</v>
      </c>
      <c r="E452">
        <f>_xll.BDP("TRMB UW Equity","LAST_PRICE")</f>
        <v>74.61</v>
      </c>
      <c r="F452">
        <f>_xll.BDP("TRMB UW Equity","RT_PX_CHG_PCT_1D")</f>
        <v>-0.33399999141693115</v>
      </c>
      <c r="G452">
        <f>_xll.BDP("TRMB UW Equity","REALTIME_5_DAY_CHANGE_PERCENT")</f>
        <v>2.0935999999999999</v>
      </c>
      <c r="H452">
        <f>_xll.BDP("TRMB UW Equity","CHG_PCT_1M_RT")</f>
        <v>2.6979000000000002</v>
      </c>
      <c r="I452">
        <f>_xll.BDP("TRMB UW Equity","CHG_PCT_3M_RT")</f>
        <v>37.378</v>
      </c>
      <c r="J452">
        <f>_xll.BDP("TRMB UW Equity","CHG_PCT_YTD_RT")</f>
        <v>40.244399999999999</v>
      </c>
    </row>
    <row r="453" spans="1:10" x14ac:dyDescent="0.25">
      <c r="A453" t="s">
        <v>460</v>
      </c>
      <c r="B453">
        <f>_xll.BDP("TROW UW Equity","LAST_PRICE")</f>
        <v>123.59</v>
      </c>
      <c r="C453">
        <f>_xll.BDP("TROW UW Equity","LAST_PRICE")</f>
        <v>123.59</v>
      </c>
      <c r="D453">
        <f>_xll.BDP("TROW UW Equity","LAST_PRICE")</f>
        <v>123.59</v>
      </c>
      <c r="E453">
        <f>_xll.BDP("TROW UW Equity","LAST_PRICE")</f>
        <v>123.59</v>
      </c>
      <c r="F453">
        <f>_xll.BDP("TROW UW Equity","RT_PX_CHG_PCT_1D")</f>
        <v>-0.19380000233650208</v>
      </c>
      <c r="G453">
        <f>_xll.BDP("TROW UW Equity","REALTIME_5_DAY_CHANGE_PERCENT")</f>
        <v>-4.0399999999999998E-2</v>
      </c>
      <c r="H453">
        <f>_xll.BDP("TROW UW Equity","CHG_PCT_1M_RT")</f>
        <v>5.0757000000000003</v>
      </c>
      <c r="I453">
        <f>_xll.BDP("TROW UW Equity","CHG_PCT_3M_RT")</f>
        <v>19.3645</v>
      </c>
      <c r="J453">
        <f>_xll.BDP("TROW UW Equity","CHG_PCT_YTD_RT")</f>
        <v>14.7646</v>
      </c>
    </row>
    <row r="454" spans="1:10" x14ac:dyDescent="0.25">
      <c r="A454" t="s">
        <v>461</v>
      </c>
      <c r="B454">
        <f>_xll.BDP("TRV UN Equity","LAST_PRICE")</f>
        <v>251.92</v>
      </c>
      <c r="C454">
        <f>_xll.BDP("TRV UN Equity","LAST_PRICE")</f>
        <v>251.92</v>
      </c>
      <c r="D454">
        <f>_xll.BDP("TRV UN Equity","LAST_PRICE")</f>
        <v>251.92</v>
      </c>
      <c r="E454">
        <f>_xll.BDP("TRV UN Equity","LAST_PRICE")</f>
        <v>251.92</v>
      </c>
      <c r="F454">
        <f>_xll.BDP("TRV UN Equity","RT_PX_CHG_PCT_1D")</f>
        <v>-3.5343999862670898</v>
      </c>
      <c r="G454">
        <f>_xll.BDP("TRV UN Equity","REALTIME_5_DAY_CHANGE_PERCENT")</f>
        <v>-4.3982999999999999</v>
      </c>
      <c r="H454">
        <f>_xll.BDP("TRV UN Equity","CHG_PCT_1M_RT")</f>
        <v>-1.9347000000000001</v>
      </c>
      <c r="I454">
        <f>_xll.BDP("TRV UN Equity","CHG_PCT_3M_RT")</f>
        <v>4.4878</v>
      </c>
      <c r="J454">
        <f>_xll.BDP("TRV UN Equity","CHG_PCT_YTD_RT")</f>
        <v>32.248399999999997</v>
      </c>
    </row>
    <row r="455" spans="1:10" x14ac:dyDescent="0.25">
      <c r="A455" t="s">
        <v>462</v>
      </c>
      <c r="B455">
        <f>_xll.BDP("TSCO UW Equity","LAST_PRICE")</f>
        <v>283.73</v>
      </c>
      <c r="C455">
        <f>_xll.BDP("TSCO UW Equity","LAST_PRICE")</f>
        <v>283.73</v>
      </c>
      <c r="D455">
        <f>_xll.BDP("TSCO UW Equity","LAST_PRICE")</f>
        <v>283.73</v>
      </c>
      <c r="E455">
        <f>_xll.BDP("TSCO UW Equity","LAST_PRICE")</f>
        <v>283.73</v>
      </c>
      <c r="F455">
        <f>_xll.BDP("TSCO UW Equity","RT_PX_CHG_PCT_1D")</f>
        <v>0.44960001111030579</v>
      </c>
      <c r="G455">
        <f>_xll.BDP("TSCO UW Equity","REALTIME_5_DAY_CHANGE_PERCENT")</f>
        <v>-2.2530999999999999</v>
      </c>
      <c r="H455">
        <f>_xll.BDP("TSCO UW Equity","CHG_PCT_1M_RT")</f>
        <v>-1.6738</v>
      </c>
      <c r="I455">
        <f>_xll.BDP("TSCO UW Equity","CHG_PCT_3M_RT")</f>
        <v>4.0103999999999997</v>
      </c>
      <c r="J455">
        <f>_xll.BDP("TSCO UW Equity","CHG_PCT_YTD_RT")</f>
        <v>31.949000000000002</v>
      </c>
    </row>
    <row r="456" spans="1:10" x14ac:dyDescent="0.25">
      <c r="A456" t="s">
        <v>463</v>
      </c>
      <c r="B456">
        <f>_xll.BDP("TSLA UW Equity","LAST_PRICE")</f>
        <v>389.79</v>
      </c>
      <c r="C456">
        <f>_xll.BDP("TSLA UW Equity","LAST_PRICE")</f>
        <v>389.79</v>
      </c>
      <c r="D456">
        <f>_xll.BDP("TSLA UW Equity","LAST_PRICE")</f>
        <v>389.79</v>
      </c>
      <c r="E456">
        <f>_xll.BDP("TSLA UW Equity","LAST_PRICE")</f>
        <v>389.79</v>
      </c>
      <c r="F456">
        <f>_xll.BDP("TSLA UW Equity","RT_PX_CHG_PCT_1D")</f>
        <v>0.14640000462532043</v>
      </c>
      <c r="G456">
        <f>_xll.BDP("TSLA UW Equity","REALTIME_5_DAY_CHANGE_PERCENT")</f>
        <v>9.1574000000000009</v>
      </c>
      <c r="H456">
        <f>_xll.BDP("TSLA UW Equity","CHG_PCT_1M_RT")</f>
        <v>21.346699999999998</v>
      </c>
      <c r="I456">
        <f>_xll.BDP("TSLA UW Equity","CHG_PCT_3M_RT")</f>
        <v>80.233000000000004</v>
      </c>
      <c r="J456">
        <f>_xll.BDP("TSLA UW Equity","CHG_PCT_YTD_RT")</f>
        <v>56.869799999999998</v>
      </c>
    </row>
    <row r="457" spans="1:10" x14ac:dyDescent="0.25">
      <c r="A457" t="s">
        <v>464</v>
      </c>
      <c r="B457">
        <f>_xll.BDP("TSN UN Equity","LAST_PRICE")</f>
        <v>62.64</v>
      </c>
      <c r="C457">
        <f>_xll.BDP("TSN UN Equity","LAST_PRICE")</f>
        <v>62.64</v>
      </c>
      <c r="D457">
        <f>_xll.BDP("TSN UN Equity","LAST_PRICE")</f>
        <v>62.64</v>
      </c>
      <c r="E457">
        <f>_xll.BDP("TSN UN Equity","LAST_PRICE")</f>
        <v>62.64</v>
      </c>
      <c r="F457">
        <f>_xll.BDP("TSN UN Equity","RT_PX_CHG_PCT_1D")</f>
        <v>0</v>
      </c>
      <c r="G457">
        <f>_xll.BDP("TSN UN Equity","REALTIME_5_DAY_CHANGE_PERCENT")</f>
        <v>-2.6421999999999999</v>
      </c>
      <c r="H457">
        <f>_xll.BDP("TSN UN Equity","CHG_PCT_1M_RT")</f>
        <v>5.1182999999999996</v>
      </c>
      <c r="I457">
        <f>_xll.BDP("TSN UN Equity","CHG_PCT_3M_RT")</f>
        <v>-4.7735000000000003</v>
      </c>
      <c r="J457">
        <f>_xll.BDP("TSN UN Equity","CHG_PCT_YTD_RT")</f>
        <v>16.5395</v>
      </c>
    </row>
    <row r="458" spans="1:10" x14ac:dyDescent="0.25">
      <c r="A458" t="s">
        <v>465</v>
      </c>
      <c r="B458">
        <f>_xll.BDP("TT UN Equity","LAST_PRICE")</f>
        <v>401.64</v>
      </c>
      <c r="C458">
        <f>_xll.BDP("TT UN Equity","LAST_PRICE")</f>
        <v>401.64</v>
      </c>
      <c r="D458">
        <f>_xll.BDP("TT UN Equity","LAST_PRICE")</f>
        <v>401.64</v>
      </c>
      <c r="E458">
        <f>_xll.BDP("TT UN Equity","LAST_PRICE")</f>
        <v>401.64</v>
      </c>
      <c r="F458">
        <f>_xll.BDP("TT UN Equity","RT_PX_CHG_PCT_1D")</f>
        <v>-2.5571000576019287</v>
      </c>
      <c r="G458">
        <f>_xll.BDP("TT UN Equity","REALTIME_5_DAY_CHANGE_PERCENT")</f>
        <v>-3.1703000000000001</v>
      </c>
      <c r="H458">
        <f>_xll.BDP("TT UN Equity","CHG_PCT_1M_RT")</f>
        <v>-2.1774</v>
      </c>
      <c r="I458">
        <f>_xll.BDP("TT UN Equity","CHG_PCT_3M_RT")</f>
        <v>16.316199999999998</v>
      </c>
      <c r="J458">
        <f>_xll.BDP("TT UN Equity","CHG_PCT_YTD_RT")</f>
        <v>64.674000000000007</v>
      </c>
    </row>
    <row r="459" spans="1:10" x14ac:dyDescent="0.25">
      <c r="A459" t="s">
        <v>466</v>
      </c>
      <c r="B459">
        <f>_xll.BDP("TTWO UW Equity","LAST_PRICE")</f>
        <v>187.9</v>
      </c>
      <c r="C459">
        <f>_xll.BDP("TTWO UW Equity","LAST_PRICE")</f>
        <v>187.9</v>
      </c>
      <c r="D459">
        <f>_xll.BDP("TTWO UW Equity","LAST_PRICE")</f>
        <v>187.9</v>
      </c>
      <c r="E459">
        <f>_xll.BDP("TTWO UW Equity","LAST_PRICE")</f>
        <v>187.9</v>
      </c>
      <c r="F459">
        <f>_xll.BDP("TTWO UW Equity","RT_PX_CHG_PCT_1D")</f>
        <v>-0.95410001277923584</v>
      </c>
      <c r="G459">
        <f>_xll.BDP("TTWO UW Equity","REALTIME_5_DAY_CHANGE_PERCENT")</f>
        <v>-2.6599999999999999E-2</v>
      </c>
      <c r="H459">
        <f>_xll.BDP("TTWO UW Equity","CHG_PCT_1M_RT")</f>
        <v>5.6211000000000002</v>
      </c>
      <c r="I459">
        <f>_xll.BDP("TTWO UW Equity","CHG_PCT_3M_RT")</f>
        <v>20.202100000000002</v>
      </c>
      <c r="J459">
        <f>_xll.BDP("TTWO UW Equity","CHG_PCT_YTD_RT")</f>
        <v>16.744299999999999</v>
      </c>
    </row>
    <row r="460" spans="1:10" x14ac:dyDescent="0.25">
      <c r="A460" t="s">
        <v>467</v>
      </c>
      <c r="B460">
        <f>_xll.BDP("TXN UW Equity","LAST_PRICE")</f>
        <v>193.45</v>
      </c>
      <c r="C460">
        <f>_xll.BDP("TXN UW Equity","LAST_PRICE")</f>
        <v>193.45</v>
      </c>
      <c r="D460">
        <f>_xll.BDP("TXN UW Equity","LAST_PRICE")</f>
        <v>193.45</v>
      </c>
      <c r="E460">
        <f>_xll.BDP("TXN UW Equity","LAST_PRICE")</f>
        <v>193.45</v>
      </c>
      <c r="F460">
        <f>_xll.BDP("TXN UW Equity","RT_PX_CHG_PCT_1D")</f>
        <v>0.18129999935626984</v>
      </c>
      <c r="G460">
        <f>_xll.BDP("TXN UW Equity","REALTIME_5_DAY_CHANGE_PERCENT")</f>
        <v>-4.1283000000000003</v>
      </c>
      <c r="H460">
        <f>_xll.BDP("TXN UW Equity","CHG_PCT_1M_RT")</f>
        <v>-12.1839</v>
      </c>
      <c r="I460">
        <f>_xll.BDP("TXN UW Equity","CHG_PCT_3M_RT")</f>
        <v>-3.8376000000000001</v>
      </c>
      <c r="J460">
        <f>_xll.BDP("TXN UW Equity","CHG_PCT_YTD_RT")</f>
        <v>13.487</v>
      </c>
    </row>
    <row r="461" spans="1:10" x14ac:dyDescent="0.25">
      <c r="A461" t="s">
        <v>468</v>
      </c>
      <c r="B461">
        <f>_xll.BDP("TXT UN Equity","LAST_PRICE")</f>
        <v>82.43</v>
      </c>
      <c r="C461">
        <f>_xll.BDP("TXT UN Equity","LAST_PRICE")</f>
        <v>82.43</v>
      </c>
      <c r="D461">
        <f>_xll.BDP("TXT UN Equity","LAST_PRICE")</f>
        <v>82.43</v>
      </c>
      <c r="E461">
        <f>_xll.BDP("TXT UN Equity","LAST_PRICE")</f>
        <v>82.43</v>
      </c>
      <c r="F461">
        <f>_xll.BDP("TXT UN Equity","RT_PX_CHG_PCT_1D")</f>
        <v>-0.27820000052452087</v>
      </c>
      <c r="G461">
        <f>_xll.BDP("TXT UN Equity","REALTIME_5_DAY_CHANGE_PERCENT")</f>
        <v>-3.5455000000000001</v>
      </c>
      <c r="H461">
        <f>_xll.BDP("TXT UN Equity","CHG_PCT_1M_RT")</f>
        <v>-5.8587999999999996</v>
      </c>
      <c r="I461">
        <f>_xll.BDP("TXT UN Equity","CHG_PCT_3M_RT")</f>
        <v>-5.1219999999999999</v>
      </c>
      <c r="J461">
        <f>_xll.BDP("TXT UN Equity","CHG_PCT_YTD_RT")</f>
        <v>2.4994000000000001</v>
      </c>
    </row>
    <row r="462" spans="1:10" x14ac:dyDescent="0.25">
      <c r="A462" t="s">
        <v>469</v>
      </c>
      <c r="B462">
        <f>_xll.BDP("TYL UN Equity","LAST_PRICE")</f>
        <v>621.77</v>
      </c>
      <c r="C462">
        <f>_xll.BDP("TYL UN Equity","LAST_PRICE")</f>
        <v>621.77</v>
      </c>
      <c r="D462">
        <f>_xll.BDP("TYL UN Equity","LAST_PRICE")</f>
        <v>621.77</v>
      </c>
      <c r="E462">
        <f>_xll.BDP("TYL UN Equity","LAST_PRICE")</f>
        <v>621.77</v>
      </c>
      <c r="F462">
        <f>_xll.BDP("TYL UN Equity","RT_PX_CHG_PCT_1D")</f>
        <v>-0.22149999439716339</v>
      </c>
      <c r="G462">
        <f>_xll.BDP("TYL UN Equity","REALTIME_5_DAY_CHANGE_PERCENT")</f>
        <v>-0.60899999999999999</v>
      </c>
      <c r="H462">
        <f>_xll.BDP("TYL UN Equity","CHG_PCT_1M_RT")</f>
        <v>-0.23269999999999999</v>
      </c>
      <c r="I462">
        <f>_xll.BDP("TYL UN Equity","CHG_PCT_3M_RT")</f>
        <v>5.5655000000000001</v>
      </c>
      <c r="J462">
        <f>_xll.BDP("TYL UN Equity","CHG_PCT_YTD_RT")</f>
        <v>48.706099999999999</v>
      </c>
    </row>
    <row r="463" spans="1:10" x14ac:dyDescent="0.25">
      <c r="A463" t="s">
        <v>470</v>
      </c>
      <c r="B463">
        <f>_xll.BDP("UAL UW Equity","LAST_PRICE")</f>
        <v>96.02</v>
      </c>
      <c r="C463">
        <f>_xll.BDP("UAL UW Equity","LAST_PRICE")</f>
        <v>96.02</v>
      </c>
      <c r="D463">
        <f>_xll.BDP("UAL UW Equity","LAST_PRICE")</f>
        <v>96.02</v>
      </c>
      <c r="E463">
        <f>_xll.BDP("UAL UW Equity","LAST_PRICE")</f>
        <v>96.02</v>
      </c>
      <c r="F463">
        <f>_xll.BDP("UAL UW Equity","RT_PX_CHG_PCT_1D")</f>
        <v>-4.2480998039245605</v>
      </c>
      <c r="G463">
        <f>_xll.BDP("UAL UW Equity","REALTIME_5_DAY_CHANGE_PERCENT")</f>
        <v>-1.4573</v>
      </c>
      <c r="H463">
        <f>_xll.BDP("UAL UW Equity","CHG_PCT_1M_RT")</f>
        <v>9.7246000000000006</v>
      </c>
      <c r="I463">
        <f>_xll.BDP("UAL UW Equity","CHG_PCT_3M_RT")</f>
        <v>96.964100000000002</v>
      </c>
      <c r="J463">
        <f>_xll.BDP("UAL UW Equity","CHG_PCT_YTD_RT")</f>
        <v>132.7193</v>
      </c>
    </row>
    <row r="464" spans="1:10" x14ac:dyDescent="0.25">
      <c r="A464" t="s">
        <v>471</v>
      </c>
      <c r="B464">
        <f>_xll.BDP("UBER UN Equity","LAST_PRICE")</f>
        <v>65.739999999999995</v>
      </c>
      <c r="C464">
        <f>_xll.BDP("UBER UN Equity","LAST_PRICE")</f>
        <v>65.739999999999995</v>
      </c>
      <c r="D464">
        <f>_xll.BDP("UBER UN Equity","LAST_PRICE")</f>
        <v>65.739999999999995</v>
      </c>
      <c r="E464">
        <f>_xll.BDP("UBER UN Equity","LAST_PRICE")</f>
        <v>65.739999999999995</v>
      </c>
      <c r="F464">
        <f>_xll.BDP("UBER UN Equity","RT_PX_CHG_PCT_1D")</f>
        <v>-0.52960002422332764</v>
      </c>
      <c r="G464">
        <f>_xll.BDP("UBER UN Equity","REALTIME_5_DAY_CHANGE_PERCENT")</f>
        <v>-10.031499999999999</v>
      </c>
      <c r="H464">
        <f>_xll.BDP("UBER UN Equity","CHG_PCT_1M_RT")</f>
        <v>-8.7451000000000008</v>
      </c>
      <c r="I464">
        <f>_xll.BDP("UBER UN Equity","CHG_PCT_3M_RT")</f>
        <v>-5.8166000000000002</v>
      </c>
      <c r="J464">
        <f>_xll.BDP("UBER UN Equity","CHG_PCT_YTD_RT")</f>
        <v>6.7728000000000002</v>
      </c>
    </row>
    <row r="465" spans="1:10" x14ac:dyDescent="0.25">
      <c r="A465" t="s">
        <v>472</v>
      </c>
      <c r="B465">
        <f>_xll.BDP("UDR UN Equity","LAST_PRICE")</f>
        <v>44.89</v>
      </c>
      <c r="C465">
        <f>_xll.BDP("UDR UN Equity","LAST_PRICE")</f>
        <v>44.89</v>
      </c>
      <c r="D465">
        <f>_xll.BDP("UDR UN Equity","LAST_PRICE")</f>
        <v>44.89</v>
      </c>
      <c r="E465">
        <f>_xll.BDP("UDR UN Equity","LAST_PRICE")</f>
        <v>44.89</v>
      </c>
      <c r="F465">
        <f>_xll.BDP("UDR UN Equity","RT_PX_CHG_PCT_1D")</f>
        <v>0.11150000244379044</v>
      </c>
      <c r="G465">
        <f>_xll.BDP("UDR UN Equity","REALTIME_5_DAY_CHANGE_PERCENT")</f>
        <v>-0.90510000000000002</v>
      </c>
      <c r="H465">
        <f>_xll.BDP("UDR UN Equity","CHG_PCT_1M_RT")</f>
        <v>0.92179999999999995</v>
      </c>
      <c r="I465">
        <f>_xll.BDP("UDR UN Equity","CHG_PCT_3M_RT")</f>
        <v>0.83109999999999995</v>
      </c>
      <c r="J465">
        <f>_xll.BDP("UDR UN Equity","CHG_PCT_YTD_RT")</f>
        <v>17.236899999999999</v>
      </c>
    </row>
    <row r="466" spans="1:10" x14ac:dyDescent="0.25">
      <c r="A466" t="s">
        <v>473</v>
      </c>
      <c r="B466">
        <f>_xll.BDP("UHS UN Equity","LAST_PRICE")</f>
        <v>192.85</v>
      </c>
      <c r="C466">
        <f>_xll.BDP("UHS UN Equity","LAST_PRICE")</f>
        <v>192.85</v>
      </c>
      <c r="D466">
        <f>_xll.BDP("UHS UN Equity","LAST_PRICE")</f>
        <v>192.85</v>
      </c>
      <c r="E466">
        <f>_xll.BDP("UHS UN Equity","LAST_PRICE")</f>
        <v>192.85</v>
      </c>
      <c r="F466">
        <f>_xll.BDP("UHS UN Equity","RT_PX_CHG_PCT_1D")</f>
        <v>-0.70539999008178711</v>
      </c>
      <c r="G466">
        <f>_xll.BDP("UHS UN Equity","REALTIME_5_DAY_CHANGE_PERCENT")</f>
        <v>-4.0834000000000001</v>
      </c>
      <c r="H466">
        <f>_xll.BDP("UHS UN Equity","CHG_PCT_1M_RT")</f>
        <v>-7.0602</v>
      </c>
      <c r="I466">
        <f>_xll.BDP("UHS UN Equity","CHG_PCT_3M_RT")</f>
        <v>-14.860300000000001</v>
      </c>
      <c r="J466">
        <f>_xll.BDP("UHS UN Equity","CHG_PCT_YTD_RT")</f>
        <v>26.508800000000001</v>
      </c>
    </row>
    <row r="467" spans="1:10" x14ac:dyDescent="0.25">
      <c r="A467" t="s">
        <v>474</v>
      </c>
      <c r="B467">
        <f>_xll.BDP("ULTA UW Equity","LAST_PRICE")</f>
        <v>418.01</v>
      </c>
      <c r="C467">
        <f>_xll.BDP("ULTA UW Equity","LAST_PRICE")</f>
        <v>418.01</v>
      </c>
      <c r="D467">
        <f>_xll.BDP("ULTA UW Equity","LAST_PRICE")</f>
        <v>418.01</v>
      </c>
      <c r="E467">
        <f>_xll.BDP("ULTA UW Equity","LAST_PRICE")</f>
        <v>418.01</v>
      </c>
      <c r="F467">
        <f>_xll.BDP("ULTA UW Equity","RT_PX_CHG_PCT_1D")</f>
        <v>-2.3729000091552734</v>
      </c>
      <c r="G467">
        <f>_xll.BDP("ULTA UW Equity","REALTIME_5_DAY_CHANGE_PERCENT")</f>
        <v>6.0777999999999999</v>
      </c>
      <c r="H467">
        <f>_xll.BDP("ULTA UW Equity","CHG_PCT_1M_RT")</f>
        <v>8.5007999999999999</v>
      </c>
      <c r="I467">
        <f>_xll.BDP("ULTA UW Equity","CHG_PCT_3M_RT")</f>
        <v>9.5500000000000007</v>
      </c>
      <c r="J467">
        <f>_xll.BDP("ULTA UW Equity","CHG_PCT_YTD_RT")</f>
        <v>-14.690099999999999</v>
      </c>
    </row>
    <row r="468" spans="1:10" x14ac:dyDescent="0.25">
      <c r="A468" t="s">
        <v>475</v>
      </c>
      <c r="B468">
        <f>_xll.BDP("UNH UN Equity","LAST_PRICE")</f>
        <v>560.62</v>
      </c>
      <c r="C468">
        <f>_xll.BDP("UNH UN Equity","LAST_PRICE")</f>
        <v>560.62</v>
      </c>
      <c r="D468">
        <f>_xll.BDP("UNH UN Equity","LAST_PRICE")</f>
        <v>560.62</v>
      </c>
      <c r="E468">
        <f>_xll.BDP("UNH UN Equity","LAST_PRICE")</f>
        <v>560.62</v>
      </c>
      <c r="F468">
        <f>_xll.BDP("UNH UN Equity","RT_PX_CHG_PCT_1D")</f>
        <v>2.3926000595092773</v>
      </c>
      <c r="G468">
        <f>_xll.BDP("UNH UN Equity","REALTIME_5_DAY_CHANGE_PERCENT")</f>
        <v>-7.8715999999999999</v>
      </c>
      <c r="H468">
        <f>_xll.BDP("UNH UN Equity","CHG_PCT_1M_RT")</f>
        <v>-8.9621999999999993</v>
      </c>
      <c r="I468">
        <f>_xll.BDP("UNH UN Equity","CHG_PCT_3M_RT")</f>
        <v>-5.6353999999999997</v>
      </c>
      <c r="J468">
        <f>_xll.BDP("UNH UN Equity","CHG_PCT_YTD_RT")</f>
        <v>6.4866000000000001</v>
      </c>
    </row>
    <row r="469" spans="1:10" x14ac:dyDescent="0.25">
      <c r="A469" t="s">
        <v>476</v>
      </c>
      <c r="B469">
        <f>_xll.BDP("UNP UN Equity","LAST_PRICE")</f>
        <v>233.54</v>
      </c>
      <c r="C469">
        <f>_xll.BDP("UNP UN Equity","LAST_PRICE")</f>
        <v>233.54</v>
      </c>
      <c r="D469">
        <f>_xll.BDP("UNP UN Equity","LAST_PRICE")</f>
        <v>233.54</v>
      </c>
      <c r="E469">
        <f>_xll.BDP("UNP UN Equity","LAST_PRICE")</f>
        <v>233.54</v>
      </c>
      <c r="F469">
        <f>_xll.BDP("UNP UN Equity","RT_PX_CHG_PCT_1D")</f>
        <v>0.56410002708435059</v>
      </c>
      <c r="G469">
        <f>_xll.BDP("UNP UN Equity","REALTIME_5_DAY_CHANGE_PERCENT")</f>
        <v>-3.0068999999999999</v>
      </c>
      <c r="H469">
        <f>_xll.BDP("UNP UN Equity","CHG_PCT_1M_RT")</f>
        <v>-3.2921</v>
      </c>
      <c r="I469">
        <f>_xll.BDP("UNP UN Equity","CHG_PCT_3M_RT")</f>
        <v>-6.9969000000000001</v>
      </c>
      <c r="J469">
        <f>_xll.BDP("UNP UN Equity","CHG_PCT_YTD_RT")</f>
        <v>-4.9181999999999997</v>
      </c>
    </row>
    <row r="470" spans="1:10" x14ac:dyDescent="0.25">
      <c r="A470" t="s">
        <v>477</v>
      </c>
      <c r="B470">
        <f>_xll.BDP("UPS UN Equity","LAST_PRICE")</f>
        <v>128.53</v>
      </c>
      <c r="C470">
        <f>_xll.BDP("UPS UN Equity","LAST_PRICE")</f>
        <v>128.53</v>
      </c>
      <c r="D470">
        <f>_xll.BDP("UPS UN Equity","LAST_PRICE")</f>
        <v>128.53</v>
      </c>
      <c r="E470">
        <f>_xll.BDP("UPS UN Equity","LAST_PRICE")</f>
        <v>128.53</v>
      </c>
      <c r="F470">
        <f>_xll.BDP("UPS UN Equity","RT_PX_CHG_PCT_1D")</f>
        <v>2.3247001171112061</v>
      </c>
      <c r="G470">
        <f>_xll.BDP("UPS UN Equity","REALTIME_5_DAY_CHANGE_PERCENT")</f>
        <v>-4.0964</v>
      </c>
      <c r="H470">
        <f>_xll.BDP("UPS UN Equity","CHG_PCT_1M_RT")</f>
        <v>-2.9523000000000001</v>
      </c>
      <c r="I470">
        <f>_xll.BDP("UPS UN Equity","CHG_PCT_3M_RT")</f>
        <v>-0.27160000000000001</v>
      </c>
      <c r="J470">
        <f>_xll.BDP("UPS UN Equity","CHG_PCT_YTD_RT")</f>
        <v>-18.253499999999999</v>
      </c>
    </row>
    <row r="471" spans="1:10" x14ac:dyDescent="0.25">
      <c r="A471" t="s">
        <v>478</v>
      </c>
      <c r="B471">
        <f>_xll.BDP("URI UN Equity","LAST_PRICE")</f>
        <v>835.89</v>
      </c>
      <c r="C471">
        <f>_xll.BDP("URI UN Equity","LAST_PRICE")</f>
        <v>835.89</v>
      </c>
      <c r="D471">
        <f>_xll.BDP("URI UN Equity","LAST_PRICE")</f>
        <v>835.89</v>
      </c>
      <c r="E471">
        <f>_xll.BDP("URI UN Equity","LAST_PRICE")</f>
        <v>835.89</v>
      </c>
      <c r="F471">
        <f>_xll.BDP("URI UN Equity","RT_PX_CHG_PCT_1D")</f>
        <v>-2.6812999248504639</v>
      </c>
      <c r="G471">
        <f>_xll.BDP("URI UN Equity","REALTIME_5_DAY_CHANGE_PERCENT")</f>
        <v>-2.4689000000000001</v>
      </c>
      <c r="H471">
        <f>_xll.BDP("URI UN Equity","CHG_PCT_1M_RT")</f>
        <v>-4.4707999999999997</v>
      </c>
      <c r="I471">
        <f>_xll.BDP("URI UN Equity","CHG_PCT_3M_RT")</f>
        <v>20.109500000000001</v>
      </c>
      <c r="J471">
        <f>_xll.BDP("URI UN Equity","CHG_PCT_YTD_RT")</f>
        <v>45.7727</v>
      </c>
    </row>
    <row r="472" spans="1:10" x14ac:dyDescent="0.25">
      <c r="A472" t="s">
        <v>479</v>
      </c>
      <c r="B472">
        <f>_xll.BDP("USB UN Equity","LAST_PRICE")</f>
        <v>51.31</v>
      </c>
      <c r="C472">
        <f>_xll.BDP("USB UN Equity","LAST_PRICE")</f>
        <v>51.31</v>
      </c>
      <c r="D472">
        <f>_xll.BDP("USB UN Equity","LAST_PRICE")</f>
        <v>51.31</v>
      </c>
      <c r="E472">
        <f>_xll.BDP("USB UN Equity","LAST_PRICE")</f>
        <v>51.31</v>
      </c>
      <c r="F472">
        <f>_xll.BDP("USB UN Equity","RT_PX_CHG_PCT_1D")</f>
        <v>-1.6672999858856201</v>
      </c>
      <c r="G472">
        <f>_xll.BDP("USB UN Equity","REALTIME_5_DAY_CHANGE_PERCENT")</f>
        <v>-2.7667000000000002</v>
      </c>
      <c r="H472">
        <f>_xll.BDP("USB UN Equity","CHG_PCT_1M_RT")</f>
        <v>2.1907999999999999</v>
      </c>
      <c r="I472">
        <f>_xll.BDP("USB UN Equity","CHG_PCT_3M_RT")</f>
        <v>13.3672</v>
      </c>
      <c r="J472">
        <f>_xll.BDP("USB UN Equity","CHG_PCT_YTD_RT")</f>
        <v>18.553599999999999</v>
      </c>
    </row>
    <row r="473" spans="1:10" x14ac:dyDescent="0.25">
      <c r="A473" t="s">
        <v>480</v>
      </c>
      <c r="B473">
        <f>_xll.BDP("V UN Equity","LAST_PRICE")</f>
        <v>308.3</v>
      </c>
      <c r="C473">
        <f>_xll.BDP("V UN Equity","LAST_PRICE")</f>
        <v>308.3</v>
      </c>
      <c r="D473">
        <f>_xll.BDP("V UN Equity","LAST_PRICE")</f>
        <v>308.3</v>
      </c>
      <c r="E473">
        <f>_xll.BDP("V UN Equity","LAST_PRICE")</f>
        <v>308.3</v>
      </c>
      <c r="F473">
        <f>_xll.BDP("V UN Equity","RT_PX_CHG_PCT_1D")</f>
        <v>-0.87139999866485596</v>
      </c>
      <c r="G473">
        <f>_xll.BDP("V UN Equity","REALTIME_5_DAY_CHANGE_PERCENT")</f>
        <v>-2.637</v>
      </c>
      <c r="H473">
        <f>_xll.BDP("V UN Equity","CHG_PCT_1M_RT")</f>
        <v>0.13969999999999999</v>
      </c>
      <c r="I473">
        <f>_xll.BDP("V UN Equity","CHG_PCT_3M_RT")</f>
        <v>7.9443999999999999</v>
      </c>
      <c r="J473">
        <f>_xll.BDP("V UN Equity","CHG_PCT_YTD_RT")</f>
        <v>18.4175</v>
      </c>
    </row>
    <row r="474" spans="1:10" x14ac:dyDescent="0.25">
      <c r="A474" t="s">
        <v>481</v>
      </c>
      <c r="B474">
        <f>_xll.BDP("VICI UN Equity","LAST_PRICE")</f>
        <v>31.76</v>
      </c>
      <c r="C474">
        <f>_xll.BDP("VICI UN Equity","LAST_PRICE")</f>
        <v>31.76</v>
      </c>
      <c r="D474">
        <f>_xll.BDP("VICI UN Equity","LAST_PRICE")</f>
        <v>31.76</v>
      </c>
      <c r="E474">
        <f>_xll.BDP("VICI UN Equity","LAST_PRICE")</f>
        <v>31.76</v>
      </c>
      <c r="F474">
        <f>_xll.BDP("VICI UN Equity","RT_PX_CHG_PCT_1D")</f>
        <v>0.34760001301765442</v>
      </c>
      <c r="G474">
        <f>_xll.BDP("VICI UN Equity","REALTIME_5_DAY_CHANGE_PERCENT")</f>
        <v>-1.3971</v>
      </c>
      <c r="H474">
        <f>_xll.BDP("VICI UN Equity","CHG_PCT_1M_RT")</f>
        <v>1.1787000000000001</v>
      </c>
      <c r="I474">
        <f>_xll.BDP("VICI UN Equity","CHG_PCT_3M_RT")</f>
        <v>-6.202</v>
      </c>
      <c r="J474">
        <f>_xll.BDP("VICI UN Equity","CHG_PCT_YTD_RT")</f>
        <v>-0.37640000000000001</v>
      </c>
    </row>
    <row r="475" spans="1:10" x14ac:dyDescent="0.25">
      <c r="A475" t="s">
        <v>482</v>
      </c>
      <c r="B475">
        <f>_xll.BDP("VLO UN Equity","LAST_PRICE")</f>
        <v>134.55000000000001</v>
      </c>
      <c r="C475">
        <f>_xll.BDP("VLO UN Equity","LAST_PRICE")</f>
        <v>134.55000000000001</v>
      </c>
      <c r="D475">
        <f>_xll.BDP("VLO UN Equity","LAST_PRICE")</f>
        <v>134.55000000000001</v>
      </c>
      <c r="E475">
        <f>_xll.BDP("VLO UN Equity","LAST_PRICE")</f>
        <v>134.55000000000001</v>
      </c>
      <c r="F475">
        <f>_xll.BDP("VLO UN Equity","RT_PX_CHG_PCT_1D")</f>
        <v>2.303800106048584</v>
      </c>
      <c r="G475">
        <f>_xll.BDP("VLO UN Equity","REALTIME_5_DAY_CHANGE_PERCENT")</f>
        <v>-3.9889000000000001</v>
      </c>
      <c r="H475">
        <f>_xll.BDP("VLO UN Equity","CHG_PCT_1M_RT")</f>
        <v>-1.5656000000000001</v>
      </c>
      <c r="I475">
        <f>_xll.BDP("VLO UN Equity","CHG_PCT_3M_RT")</f>
        <v>0.29070000000000001</v>
      </c>
      <c r="J475">
        <f>_xll.BDP("VLO UN Equity","CHG_PCT_YTD_RT")</f>
        <v>3.5</v>
      </c>
    </row>
    <row r="476" spans="1:10" x14ac:dyDescent="0.25">
      <c r="A476" t="s">
        <v>483</v>
      </c>
      <c r="B476">
        <f>_xll.BDP("VLTO UN Equity","LAST_PRICE")</f>
        <v>106.75</v>
      </c>
      <c r="C476">
        <f>_xll.BDP("VLTO UN Equity","LAST_PRICE")</f>
        <v>106.75</v>
      </c>
      <c r="D476">
        <f>_xll.BDP("VLTO UN Equity","LAST_PRICE")</f>
        <v>106.75</v>
      </c>
      <c r="E476">
        <f>_xll.BDP("VLTO UN Equity","LAST_PRICE")</f>
        <v>106.75</v>
      </c>
      <c r="F476">
        <f>_xll.BDP("VLTO UN Equity","RT_PX_CHG_PCT_1D")</f>
        <v>0.20649999380111694</v>
      </c>
      <c r="G476">
        <f>_xll.BDP("VLTO UN Equity","REALTIME_5_DAY_CHANGE_PERCENT")</f>
        <v>0.1125</v>
      </c>
      <c r="H476">
        <f>_xll.BDP("VLTO UN Equity","CHG_PCT_1M_RT")</f>
        <v>1.1369</v>
      </c>
      <c r="I476">
        <f>_xll.BDP("VLTO UN Equity","CHG_PCT_3M_RT")</f>
        <v>-2.5024999999999999</v>
      </c>
      <c r="J476">
        <f>_xll.BDP("VLTO UN Equity","CHG_PCT_YTD_RT")</f>
        <v>29.7715</v>
      </c>
    </row>
    <row r="477" spans="1:10" x14ac:dyDescent="0.25">
      <c r="A477" t="s">
        <v>484</v>
      </c>
      <c r="B477">
        <f>_xll.BDP("VMC UN Equity","LAST_PRICE")</f>
        <v>281.23</v>
      </c>
      <c r="C477">
        <f>_xll.BDP("VMC UN Equity","LAST_PRICE")</f>
        <v>281.23</v>
      </c>
      <c r="D477">
        <f>_xll.BDP("VMC UN Equity","LAST_PRICE")</f>
        <v>281.23</v>
      </c>
      <c r="E477">
        <f>_xll.BDP("VMC UN Equity","LAST_PRICE")</f>
        <v>281.23</v>
      </c>
      <c r="F477">
        <f>_xll.BDP("VMC UN Equity","RT_PX_CHG_PCT_1D")</f>
        <v>-1.9625999927520752</v>
      </c>
      <c r="G477">
        <f>_xll.BDP("VMC UN Equity","REALTIME_5_DAY_CHANGE_PERCENT")</f>
        <v>-2.0274999999999999</v>
      </c>
      <c r="H477">
        <f>_xll.BDP("VMC UN Equity","CHG_PCT_1M_RT")</f>
        <v>-3.7905000000000002</v>
      </c>
      <c r="I477">
        <f>_xll.BDP("VMC UN Equity","CHG_PCT_3M_RT")</f>
        <v>21.308700000000002</v>
      </c>
      <c r="J477">
        <f>_xll.BDP("VMC UN Equity","CHG_PCT_YTD_RT")</f>
        <v>23.884399999999999</v>
      </c>
    </row>
    <row r="478" spans="1:10" x14ac:dyDescent="0.25">
      <c r="A478" t="s">
        <v>485</v>
      </c>
      <c r="B478">
        <f>_xll.BDP("VRSK UW Equity","LAST_PRICE")</f>
        <v>284.91000000000003</v>
      </c>
      <c r="C478">
        <f>_xll.BDP("VRSK UW Equity","LAST_PRICE")</f>
        <v>284.91000000000003</v>
      </c>
      <c r="D478">
        <f>_xll.BDP("VRSK UW Equity","LAST_PRICE")</f>
        <v>284.91000000000003</v>
      </c>
      <c r="E478">
        <f>_xll.BDP("VRSK UW Equity","LAST_PRICE")</f>
        <v>284.91000000000003</v>
      </c>
      <c r="F478">
        <f>_xll.BDP("VRSK UW Equity","RT_PX_CHG_PCT_1D")</f>
        <v>-0.74900001287460327</v>
      </c>
      <c r="G478">
        <f>_xll.BDP("VRSK UW Equity","REALTIME_5_DAY_CHANGE_PERCENT")</f>
        <v>-2.6614</v>
      </c>
      <c r="H478">
        <f>_xll.BDP("VRSK UW Equity","CHG_PCT_1M_RT")</f>
        <v>-2.46E-2</v>
      </c>
      <c r="I478">
        <f>_xll.BDP("VRSK UW Equity","CHG_PCT_3M_RT")</f>
        <v>4.2671999999999999</v>
      </c>
      <c r="J478">
        <f>_xll.BDP("VRSK UW Equity","CHG_PCT_YTD_RT")</f>
        <v>19.2791</v>
      </c>
    </row>
    <row r="479" spans="1:10" x14ac:dyDescent="0.25">
      <c r="A479" t="s">
        <v>486</v>
      </c>
      <c r="B479">
        <f>_xll.BDP("VRSN UW Equity","LAST_PRICE")</f>
        <v>200.46</v>
      </c>
      <c r="C479">
        <f>_xll.BDP("VRSN UW Equity","LAST_PRICE")</f>
        <v>200.46</v>
      </c>
      <c r="D479">
        <f>_xll.BDP("VRSN UW Equity","LAST_PRICE")</f>
        <v>200.46</v>
      </c>
      <c r="E479">
        <f>_xll.BDP("VRSN UW Equity","LAST_PRICE")</f>
        <v>200.46</v>
      </c>
      <c r="F479">
        <f>_xll.BDP("VRSN UW Equity","RT_PX_CHG_PCT_1D")</f>
        <v>4.875999927520752</v>
      </c>
      <c r="G479">
        <f>_xll.BDP("VRSN UW Equity","REALTIME_5_DAY_CHANGE_PERCENT")</f>
        <v>4.1405000000000003</v>
      </c>
      <c r="H479">
        <f>_xll.BDP("VRSN UW Equity","CHG_PCT_1M_RT")</f>
        <v>9.2067999999999994</v>
      </c>
      <c r="I479">
        <f>_xll.BDP("VRSN UW Equity","CHG_PCT_3M_RT")</f>
        <v>10.1671</v>
      </c>
      <c r="J479">
        <f>_xll.BDP("VRSN UW Equity","CHG_PCT_YTD_RT")</f>
        <v>-2.6703999999999999</v>
      </c>
    </row>
    <row r="480" spans="1:10" x14ac:dyDescent="0.25">
      <c r="A480" t="s">
        <v>487</v>
      </c>
      <c r="B480">
        <f>_xll.BDP("VRTX UW Equity","LAST_PRICE")</f>
        <v>473.98</v>
      </c>
      <c r="C480">
        <f>_xll.BDP("VRTX UW Equity","LAST_PRICE")</f>
        <v>473.98</v>
      </c>
      <c r="D480">
        <f>_xll.BDP("VRTX UW Equity","LAST_PRICE")</f>
        <v>473.98</v>
      </c>
      <c r="E480">
        <f>_xll.BDP("VRTX UW Equity","LAST_PRICE")</f>
        <v>473.98</v>
      </c>
      <c r="F480">
        <f>_xll.BDP("VRTX UW Equity","RT_PX_CHG_PCT_1D")</f>
        <v>2.5708999633789063</v>
      </c>
      <c r="G480">
        <f>_xll.BDP("VRTX UW Equity","REALTIME_5_DAY_CHANGE_PERCENT")</f>
        <v>1.7714000000000001</v>
      </c>
      <c r="H480">
        <f>_xll.BDP("VRTX UW Equity","CHG_PCT_1M_RT")</f>
        <v>-8.2750000000000004</v>
      </c>
      <c r="I480">
        <f>_xll.BDP("VRTX UW Equity","CHG_PCT_3M_RT")</f>
        <v>0.60919999999999996</v>
      </c>
      <c r="J480">
        <f>_xll.BDP("VRTX UW Equity","CHG_PCT_YTD_RT")</f>
        <v>16.488499999999998</v>
      </c>
    </row>
    <row r="481" spans="1:10" x14ac:dyDescent="0.25">
      <c r="A481" t="s">
        <v>488</v>
      </c>
      <c r="B481">
        <f>_xll.BDP("VST UN Equity","LAST_PRICE")</f>
        <v>148.31</v>
      </c>
      <c r="C481">
        <f>_xll.BDP("VST UN Equity","LAST_PRICE")</f>
        <v>148.31</v>
      </c>
      <c r="D481">
        <f>_xll.BDP("VST UN Equity","LAST_PRICE")</f>
        <v>148.31</v>
      </c>
      <c r="E481">
        <f>_xll.BDP("VST UN Equity","LAST_PRICE")</f>
        <v>148.31</v>
      </c>
      <c r="F481">
        <f>_xll.BDP("VST UN Equity","RT_PX_CHG_PCT_1D")</f>
        <v>-7.2947001457214355</v>
      </c>
      <c r="G481">
        <f>_xll.BDP("VST UN Equity","REALTIME_5_DAY_CHANGE_PERCENT")</f>
        <v>-3.7635000000000001</v>
      </c>
      <c r="H481">
        <f>_xll.BDP("VST UN Equity","CHG_PCT_1M_RT")</f>
        <v>4.5172999999999996</v>
      </c>
      <c r="I481">
        <f>_xll.BDP("VST UN Equity","CHG_PCT_3M_RT")</f>
        <v>97.878600000000006</v>
      </c>
      <c r="J481">
        <f>_xll.BDP("VST UN Equity","CHG_PCT_YTD_RT")</f>
        <v>285.02080000000001</v>
      </c>
    </row>
    <row r="482" spans="1:10" x14ac:dyDescent="0.25">
      <c r="A482" t="s">
        <v>489</v>
      </c>
      <c r="B482">
        <f>_xll.BDP("VTR UN Equity","LAST_PRICE")</f>
        <v>61.06</v>
      </c>
      <c r="C482">
        <f>_xll.BDP("VTR UN Equity","LAST_PRICE")</f>
        <v>61.06</v>
      </c>
      <c r="D482">
        <f>_xll.BDP("VTR UN Equity","LAST_PRICE")</f>
        <v>61.06</v>
      </c>
      <c r="E482">
        <f>_xll.BDP("VTR UN Equity","LAST_PRICE")</f>
        <v>61.06</v>
      </c>
      <c r="F482">
        <f>_xll.BDP("VTR UN Equity","RT_PX_CHG_PCT_1D")</f>
        <v>-0.9570000171661377</v>
      </c>
      <c r="G482">
        <f>_xll.BDP("VTR UN Equity","REALTIME_5_DAY_CHANGE_PERCENT")</f>
        <v>-1.9274</v>
      </c>
      <c r="H482">
        <f>_xll.BDP("VTR UN Equity","CHG_PCT_1M_RT")</f>
        <v>-6.2778</v>
      </c>
      <c r="I482">
        <f>_xll.BDP("VTR UN Equity","CHG_PCT_3M_RT")</f>
        <v>-4.8316999999999997</v>
      </c>
      <c r="J482">
        <f>_xll.BDP("VTR UN Equity","CHG_PCT_YTD_RT")</f>
        <v>22.512</v>
      </c>
    </row>
    <row r="483" spans="1:10" x14ac:dyDescent="0.25">
      <c r="A483" t="s">
        <v>490</v>
      </c>
      <c r="B483">
        <f>_xll.BDP("VTRS UW Equity","LAST_PRICE")</f>
        <v>12.8</v>
      </c>
      <c r="C483">
        <f>_xll.BDP("VTRS UW Equity","LAST_PRICE")</f>
        <v>12.8</v>
      </c>
      <c r="D483">
        <f>_xll.BDP("VTRS UW Equity","LAST_PRICE")</f>
        <v>12.8</v>
      </c>
      <c r="E483">
        <f>_xll.BDP("VTRS UW Equity","LAST_PRICE")</f>
        <v>12.8</v>
      </c>
      <c r="F483">
        <f>_xll.BDP("VTRS UW Equity","RT_PX_CHG_PCT_1D")</f>
        <v>0.62889999151229858</v>
      </c>
      <c r="G483">
        <f>_xll.BDP("VTRS UW Equity","REALTIME_5_DAY_CHANGE_PERCENT")</f>
        <v>-3.0303</v>
      </c>
      <c r="H483">
        <f>_xll.BDP("VTRS UW Equity","CHG_PCT_1M_RT")</f>
        <v>-1.2345999999999999</v>
      </c>
      <c r="I483">
        <f>_xll.BDP("VTRS UW Equity","CHG_PCT_3M_RT")</f>
        <v>15.0045</v>
      </c>
      <c r="J483">
        <f>_xll.BDP("VTRS UW Equity","CHG_PCT_YTD_RT")</f>
        <v>18.190200000000001</v>
      </c>
    </row>
    <row r="484" spans="1:10" x14ac:dyDescent="0.25">
      <c r="A484" t="s">
        <v>491</v>
      </c>
      <c r="B484">
        <f>_xll.BDP("VZ UN Equity","LAST_PRICE")</f>
        <v>42.36</v>
      </c>
      <c r="C484">
        <f>_xll.BDP("VZ UN Equity","LAST_PRICE")</f>
        <v>42.36</v>
      </c>
      <c r="D484">
        <f>_xll.BDP("VZ UN Equity","LAST_PRICE")</f>
        <v>42.36</v>
      </c>
      <c r="E484">
        <f>_xll.BDP("VZ UN Equity","LAST_PRICE")</f>
        <v>42.36</v>
      </c>
      <c r="F484">
        <f>_xll.BDP("VZ UN Equity","RT_PX_CHG_PCT_1D")</f>
        <v>-2.3600000888109207E-2</v>
      </c>
      <c r="G484">
        <f>_xll.BDP("VZ UN Equity","REALTIME_5_DAY_CHANGE_PERCENT")</f>
        <v>-3.3978999999999999</v>
      </c>
      <c r="H484">
        <f>_xll.BDP("VZ UN Equity","CHG_PCT_1M_RT")</f>
        <v>4.6443000000000003</v>
      </c>
      <c r="I484">
        <f>_xll.BDP("VZ UN Equity","CHG_PCT_3M_RT")</f>
        <v>-0.8659</v>
      </c>
      <c r="J484">
        <f>_xll.BDP("VZ UN Equity","CHG_PCT_YTD_RT")</f>
        <v>12.3607</v>
      </c>
    </row>
    <row r="485" spans="1:10" x14ac:dyDescent="0.25">
      <c r="A485" t="s">
        <v>492</v>
      </c>
      <c r="B485">
        <f>_xll.BDP("WAB UN Equity","LAST_PRICE")</f>
        <v>202.69</v>
      </c>
      <c r="C485">
        <f>_xll.BDP("WAB UN Equity","LAST_PRICE")</f>
        <v>202.69</v>
      </c>
      <c r="D485">
        <f>_xll.BDP("WAB UN Equity","LAST_PRICE")</f>
        <v>202.69</v>
      </c>
      <c r="E485">
        <f>_xll.BDP("WAB UN Equity","LAST_PRICE")</f>
        <v>202.69</v>
      </c>
      <c r="F485">
        <f>_xll.BDP("WAB UN Equity","RT_PX_CHG_PCT_1D")</f>
        <v>-1.3242000341415405</v>
      </c>
      <c r="G485">
        <f>_xll.BDP("WAB UN Equity","REALTIME_5_DAY_CHANGE_PERCENT")</f>
        <v>1.4565999999999999</v>
      </c>
      <c r="H485">
        <f>_xll.BDP("WAB UN Equity","CHG_PCT_1M_RT")</f>
        <v>0.99660000000000004</v>
      </c>
      <c r="I485">
        <f>_xll.BDP("WAB UN Equity","CHG_PCT_3M_RT")</f>
        <v>24.563700000000001</v>
      </c>
      <c r="J485">
        <f>_xll.BDP("WAB UN Equity","CHG_PCT_YTD_RT")</f>
        <v>59.724200000000003</v>
      </c>
    </row>
    <row r="486" spans="1:10" x14ac:dyDescent="0.25">
      <c r="A486" t="s">
        <v>493</v>
      </c>
      <c r="B486">
        <f>_xll.BDP("WAT UN Equity","LAST_PRICE")</f>
        <v>392.01</v>
      </c>
      <c r="C486">
        <f>_xll.BDP("WAT UN Equity","LAST_PRICE")</f>
        <v>392.01</v>
      </c>
      <c r="D486">
        <f>_xll.BDP("WAT UN Equity","LAST_PRICE")</f>
        <v>392.01</v>
      </c>
      <c r="E486">
        <f>_xll.BDP("WAT UN Equity","LAST_PRICE")</f>
        <v>392.01</v>
      </c>
      <c r="F486">
        <f>_xll.BDP("WAT UN Equity","RT_PX_CHG_PCT_1D")</f>
        <v>2.0725998878479004</v>
      </c>
      <c r="G486">
        <f>_xll.BDP("WAT UN Equity","REALTIME_5_DAY_CHANGE_PERCENT")</f>
        <v>1.2684</v>
      </c>
      <c r="H486">
        <f>_xll.BDP("WAT UN Equity","CHG_PCT_1M_RT")</f>
        <v>1.9504999999999999</v>
      </c>
      <c r="I486">
        <f>_xll.BDP("WAT UN Equity","CHG_PCT_3M_RT")</f>
        <v>18.0397</v>
      </c>
      <c r="J486">
        <f>_xll.BDP("WAT UN Equity","CHG_PCT_YTD_RT")</f>
        <v>19.0687</v>
      </c>
    </row>
    <row r="487" spans="1:10" x14ac:dyDescent="0.25">
      <c r="A487" t="s">
        <v>494</v>
      </c>
      <c r="B487">
        <f>_xll.BDP("WBA UW Equity","LAST_PRICE")</f>
        <v>8.85</v>
      </c>
      <c r="C487">
        <f>_xll.BDP("WBA UW Equity","LAST_PRICE")</f>
        <v>8.85</v>
      </c>
      <c r="D487">
        <f>_xll.BDP("WBA UW Equity","LAST_PRICE")</f>
        <v>8.85</v>
      </c>
      <c r="E487">
        <f>_xll.BDP("WBA UW Equity","LAST_PRICE")</f>
        <v>8.85</v>
      </c>
      <c r="F487">
        <f>_xll.BDP("WBA UW Equity","RT_PX_CHG_PCT_1D")</f>
        <v>3.3879001140594482</v>
      </c>
      <c r="G487">
        <f>_xll.BDP("WBA UW Equity","REALTIME_5_DAY_CHANGE_PERCENT")</f>
        <v>-1.4477</v>
      </c>
      <c r="H487">
        <f>_xll.BDP("WBA UW Equity","CHG_PCT_1M_RT")</f>
        <v>-2.4256000000000002</v>
      </c>
      <c r="I487">
        <f>_xll.BDP("WBA UW Equity","CHG_PCT_3M_RT")</f>
        <v>-0.6734</v>
      </c>
      <c r="J487">
        <f>_xll.BDP("WBA UW Equity","CHG_PCT_YTD_RT")</f>
        <v>-66.104900000000001</v>
      </c>
    </row>
    <row r="488" spans="1:10" x14ac:dyDescent="0.25">
      <c r="A488" t="s">
        <v>495</v>
      </c>
      <c r="B488">
        <f>_xll.BDP("WBD UW Equity","LAST_PRICE")</f>
        <v>10.56</v>
      </c>
      <c r="C488">
        <f>_xll.BDP("WBD UW Equity","LAST_PRICE")</f>
        <v>10.56</v>
      </c>
      <c r="D488">
        <f>_xll.BDP("WBD UW Equity","LAST_PRICE")</f>
        <v>10.56</v>
      </c>
      <c r="E488">
        <f>_xll.BDP("WBD UW Equity","LAST_PRICE")</f>
        <v>10.56</v>
      </c>
      <c r="F488">
        <f>_xll.BDP("WBD UW Equity","RT_PX_CHG_PCT_1D")</f>
        <v>-0.93809998035430908</v>
      </c>
      <c r="G488">
        <f>_xll.BDP("WBD UW Equity","REALTIME_5_DAY_CHANGE_PERCENT")</f>
        <v>0</v>
      </c>
      <c r="H488">
        <f>_xll.BDP("WBD UW Equity","CHG_PCT_1M_RT")</f>
        <v>15.0327</v>
      </c>
      <c r="I488">
        <f>_xll.BDP("WBD UW Equity","CHG_PCT_3M_RT")</f>
        <v>44.657499999999999</v>
      </c>
      <c r="J488">
        <f>_xll.BDP("WBD UW Equity","CHG_PCT_YTD_RT")</f>
        <v>-7.2055999999999996</v>
      </c>
    </row>
    <row r="489" spans="1:10" x14ac:dyDescent="0.25">
      <c r="A489" t="s">
        <v>496</v>
      </c>
      <c r="B489">
        <f>_xll.BDP("WDC UW Equity","LAST_PRICE")</f>
        <v>70.739999999999995</v>
      </c>
      <c r="C489">
        <f>_xll.BDP("WDC UW Equity","LAST_PRICE")</f>
        <v>70.739999999999995</v>
      </c>
      <c r="D489">
        <f>_xll.BDP("WDC UW Equity","LAST_PRICE")</f>
        <v>70.739999999999995</v>
      </c>
      <c r="E489">
        <f>_xll.BDP("WDC UW Equity","LAST_PRICE")</f>
        <v>70.739999999999995</v>
      </c>
      <c r="F489">
        <f>_xll.BDP("WDC UW Equity","RT_PX_CHG_PCT_1D")</f>
        <v>-0.4643000066280365</v>
      </c>
      <c r="G489">
        <f>_xll.BDP("WDC UW Equity","REALTIME_5_DAY_CHANGE_PERCENT")</f>
        <v>-3.6634000000000002</v>
      </c>
      <c r="H489">
        <f>_xll.BDP("WDC UW Equity","CHG_PCT_1M_RT")</f>
        <v>1.6233</v>
      </c>
      <c r="I489">
        <f>_xll.BDP("WDC UW Equity","CHG_PCT_3M_RT")</f>
        <v>12.985099999999999</v>
      </c>
      <c r="J489">
        <f>_xll.BDP("WDC UW Equity","CHG_PCT_YTD_RT")</f>
        <v>35.077300000000001</v>
      </c>
    </row>
    <row r="490" spans="1:10" x14ac:dyDescent="0.25">
      <c r="A490" t="s">
        <v>497</v>
      </c>
      <c r="B490">
        <f>_xll.BDP("WEC UN Equity","LAST_PRICE")</f>
        <v>97.11</v>
      </c>
      <c r="C490">
        <f>_xll.BDP("WEC UN Equity","LAST_PRICE")</f>
        <v>97.11</v>
      </c>
      <c r="D490">
        <f>_xll.BDP("WEC UN Equity","LAST_PRICE")</f>
        <v>97.11</v>
      </c>
      <c r="E490">
        <f>_xll.BDP("WEC UN Equity","LAST_PRICE")</f>
        <v>97.11</v>
      </c>
      <c r="F490">
        <f>_xll.BDP("WEC UN Equity","RT_PX_CHG_PCT_1D")</f>
        <v>2.0600000396370888E-2</v>
      </c>
      <c r="G490">
        <f>_xll.BDP("WEC UN Equity","REALTIME_5_DAY_CHANGE_PERCENT")</f>
        <v>-2.5587</v>
      </c>
      <c r="H490">
        <f>_xll.BDP("WEC UN Equity","CHG_PCT_1M_RT")</f>
        <v>-0.4919</v>
      </c>
      <c r="I490">
        <f>_xll.BDP("WEC UN Equity","CHG_PCT_3M_RT")</f>
        <v>2.3719000000000001</v>
      </c>
      <c r="J490">
        <f>_xll.BDP("WEC UN Equity","CHG_PCT_YTD_RT")</f>
        <v>15.3736</v>
      </c>
    </row>
    <row r="491" spans="1:10" x14ac:dyDescent="0.25">
      <c r="A491" t="s">
        <v>498</v>
      </c>
      <c r="B491">
        <f>_xll.BDP("WELL UN Equity","LAST_PRICE")</f>
        <v>129.44999999999999</v>
      </c>
      <c r="C491">
        <f>_xll.BDP("WELL UN Equity","LAST_PRICE")</f>
        <v>129.44999999999999</v>
      </c>
      <c r="D491">
        <f>_xll.BDP("WELL UN Equity","LAST_PRICE")</f>
        <v>129.44999999999999</v>
      </c>
      <c r="E491">
        <f>_xll.BDP("WELL UN Equity","LAST_PRICE")</f>
        <v>129.44999999999999</v>
      </c>
      <c r="F491">
        <f>_xll.BDP("WELL UN Equity","RT_PX_CHG_PCT_1D")</f>
        <v>-1.4615000486373901</v>
      </c>
      <c r="G491">
        <f>_xll.BDP("WELL UN Equity","REALTIME_5_DAY_CHANGE_PERCENT")</f>
        <v>-3.4171</v>
      </c>
      <c r="H491">
        <f>_xll.BDP("WELL UN Equity","CHG_PCT_1M_RT")</f>
        <v>-6.3314000000000004</v>
      </c>
      <c r="I491">
        <f>_xll.BDP("WELL UN Equity","CHG_PCT_3M_RT")</f>
        <v>1.665</v>
      </c>
      <c r="J491">
        <f>_xll.BDP("WELL UN Equity","CHG_PCT_YTD_RT")</f>
        <v>43.562199999999997</v>
      </c>
    </row>
    <row r="492" spans="1:10" x14ac:dyDescent="0.25">
      <c r="A492" t="s">
        <v>499</v>
      </c>
      <c r="B492">
        <f>_xll.BDP("WFC UN Equity","LAST_PRICE")</f>
        <v>72.62</v>
      </c>
      <c r="C492">
        <f>_xll.BDP("WFC UN Equity","LAST_PRICE")</f>
        <v>72.62</v>
      </c>
      <c r="D492">
        <f>_xll.BDP("WFC UN Equity","LAST_PRICE")</f>
        <v>72.62</v>
      </c>
      <c r="E492">
        <f>_xll.BDP("WFC UN Equity","LAST_PRICE")</f>
        <v>72.62</v>
      </c>
      <c r="F492">
        <f>_xll.BDP("WFC UN Equity","RT_PX_CHG_PCT_1D")</f>
        <v>-2.3006000518798828</v>
      </c>
      <c r="G492">
        <f>_xll.BDP("WFC UN Equity","REALTIME_5_DAY_CHANGE_PERCENT")</f>
        <v>-3.5335000000000001</v>
      </c>
      <c r="H492">
        <f>_xll.BDP("WFC UN Equity","CHG_PCT_1M_RT")</f>
        <v>3.6836000000000002</v>
      </c>
      <c r="I492">
        <f>_xll.BDP("WFC UN Equity","CHG_PCT_3M_RT")</f>
        <v>33.027999999999999</v>
      </c>
      <c r="J492">
        <f>_xll.BDP("WFC UN Equity","CHG_PCT_YTD_RT")</f>
        <v>47.541600000000003</v>
      </c>
    </row>
    <row r="493" spans="1:10" x14ac:dyDescent="0.25">
      <c r="A493" t="s">
        <v>500</v>
      </c>
      <c r="B493">
        <f>_xll.BDP("WM UN Equity","LAST_PRICE")</f>
        <v>217.47</v>
      </c>
      <c r="C493">
        <f>_xll.BDP("WM UN Equity","LAST_PRICE")</f>
        <v>217.47</v>
      </c>
      <c r="D493">
        <f>_xll.BDP("WM UN Equity","LAST_PRICE")</f>
        <v>217.47</v>
      </c>
      <c r="E493">
        <f>_xll.BDP("WM UN Equity","LAST_PRICE")</f>
        <v>217.47</v>
      </c>
      <c r="F493">
        <f>_xll.BDP("WM UN Equity","RT_PX_CHG_PCT_1D")</f>
        <v>-2.1243000030517578</v>
      </c>
      <c r="G493">
        <f>_xll.BDP("WM UN Equity","REALTIME_5_DAY_CHANGE_PERCENT")</f>
        <v>-3.3982000000000001</v>
      </c>
      <c r="H493">
        <f>_xll.BDP("WM UN Equity","CHG_PCT_1M_RT")</f>
        <v>-2.9672000000000001</v>
      </c>
      <c r="I493">
        <f>_xll.BDP("WM UN Equity","CHG_PCT_3M_RT")</f>
        <v>4.3221999999999996</v>
      </c>
      <c r="J493">
        <f>_xll.BDP("WM UN Equity","CHG_PCT_YTD_RT")</f>
        <v>21.4238</v>
      </c>
    </row>
    <row r="494" spans="1:10" x14ac:dyDescent="0.25">
      <c r="A494" t="s">
        <v>501</v>
      </c>
      <c r="B494">
        <f>_xll.BDP("WMB UN Equity","LAST_PRICE")</f>
        <v>54.67</v>
      </c>
      <c r="C494">
        <f>_xll.BDP("WMB UN Equity","LAST_PRICE")</f>
        <v>54.67</v>
      </c>
      <c r="D494">
        <f>_xll.BDP("WMB UN Equity","LAST_PRICE")</f>
        <v>54.67</v>
      </c>
      <c r="E494">
        <f>_xll.BDP("WMB UN Equity","LAST_PRICE")</f>
        <v>54.67</v>
      </c>
      <c r="F494">
        <f>_xll.BDP("WMB UN Equity","RT_PX_CHG_PCT_1D")</f>
        <v>-3.8347001075744629</v>
      </c>
      <c r="G494">
        <f>_xll.BDP("WMB UN Equity","REALTIME_5_DAY_CHANGE_PERCENT")</f>
        <v>-3.1532</v>
      </c>
      <c r="H494">
        <f>_xll.BDP("WMB UN Equity","CHG_PCT_1M_RT")</f>
        <v>-2.9123999999999999</v>
      </c>
      <c r="I494">
        <f>_xll.BDP("WMB UN Equity","CHG_PCT_3M_RT")</f>
        <v>22.7987</v>
      </c>
      <c r="J494">
        <f>_xll.BDP("WMB UN Equity","CHG_PCT_YTD_RT")</f>
        <v>56.962400000000002</v>
      </c>
    </row>
    <row r="495" spans="1:10" x14ac:dyDescent="0.25">
      <c r="A495" t="s">
        <v>502</v>
      </c>
      <c r="B495">
        <f>_xll.BDP("WMT UN Equity","LAST_PRICE")</f>
        <v>93.83</v>
      </c>
      <c r="C495">
        <f>_xll.BDP("WMT UN Equity","LAST_PRICE")</f>
        <v>93.83</v>
      </c>
      <c r="D495">
        <f>_xll.BDP("WMT UN Equity","LAST_PRICE")</f>
        <v>93.83</v>
      </c>
      <c r="E495">
        <f>_xll.BDP("WMT UN Equity","LAST_PRICE")</f>
        <v>93.83</v>
      </c>
      <c r="F495">
        <f>_xll.BDP("WMT UN Equity","RT_PX_CHG_PCT_1D")</f>
        <v>-1.9539999961853027</v>
      </c>
      <c r="G495">
        <f>_xll.BDP("WMT UN Equity","REALTIME_5_DAY_CHANGE_PERCENT")</f>
        <v>1.2845</v>
      </c>
      <c r="H495">
        <f>_xll.BDP("WMT UN Equity","CHG_PCT_1M_RT")</f>
        <v>10.609500000000001</v>
      </c>
      <c r="I495">
        <f>_xll.BDP("WMT UN Equity","CHG_PCT_3M_RT")</f>
        <v>21.321400000000001</v>
      </c>
      <c r="J495">
        <f>_xll.BDP("WMT UN Equity","CHG_PCT_YTD_RT")</f>
        <v>78.553799999999995</v>
      </c>
    </row>
    <row r="496" spans="1:10" x14ac:dyDescent="0.25">
      <c r="A496" t="s">
        <v>503</v>
      </c>
      <c r="B496">
        <f>_xll.BDP("WRB UN Equity","LAST_PRICE")</f>
        <v>62.04</v>
      </c>
      <c r="C496">
        <f>_xll.BDP("WRB UN Equity","LAST_PRICE")</f>
        <v>62.04</v>
      </c>
      <c r="D496">
        <f>_xll.BDP("WRB UN Equity","LAST_PRICE")</f>
        <v>62.04</v>
      </c>
      <c r="E496">
        <f>_xll.BDP("WRB UN Equity","LAST_PRICE")</f>
        <v>62.04</v>
      </c>
      <c r="F496">
        <f>_xll.BDP("WRB UN Equity","RT_PX_CHG_PCT_1D")</f>
        <v>-1.4456000328063965</v>
      </c>
      <c r="G496">
        <f>_xll.BDP("WRB UN Equity","REALTIME_5_DAY_CHANGE_PERCENT")</f>
        <v>-2.5295000000000001</v>
      </c>
      <c r="H496">
        <f>_xll.BDP("WRB UN Equity","CHG_PCT_1M_RT")</f>
        <v>2.4607999999999999</v>
      </c>
      <c r="I496">
        <f>_xll.BDP("WRB UN Equity","CHG_PCT_3M_RT")</f>
        <v>4.9370000000000003</v>
      </c>
      <c r="J496">
        <f>_xll.BDP("WRB UN Equity","CHG_PCT_YTD_RT")</f>
        <v>32.991500000000002</v>
      </c>
    </row>
    <row r="497" spans="1:10" x14ac:dyDescent="0.25">
      <c r="A497" t="s">
        <v>504</v>
      </c>
      <c r="B497">
        <f>_xll.BDP("WST UN Equity","LAST_PRICE")</f>
        <v>322.16000000000003</v>
      </c>
      <c r="C497">
        <f>_xll.BDP("WST UN Equity","LAST_PRICE")</f>
        <v>322.16000000000003</v>
      </c>
      <c r="D497">
        <f>_xll.BDP("WST UN Equity","LAST_PRICE")</f>
        <v>322.16000000000003</v>
      </c>
      <c r="E497">
        <f>_xll.BDP("WST UN Equity","LAST_PRICE")</f>
        <v>322.16000000000003</v>
      </c>
      <c r="F497">
        <f>_xll.BDP("WST UN Equity","RT_PX_CHG_PCT_1D")</f>
        <v>-0.1023000031709671</v>
      </c>
      <c r="G497">
        <f>_xll.BDP("WST UN Equity","REALTIME_5_DAY_CHANGE_PERCENT")</f>
        <v>-0.15190000000000001</v>
      </c>
      <c r="H497">
        <f>_xll.BDP("WST UN Equity","CHG_PCT_1M_RT")</f>
        <v>-0.59860000000000002</v>
      </c>
      <c r="I497">
        <f>_xll.BDP("WST UN Equity","CHG_PCT_3M_RT")</f>
        <v>6.6649000000000003</v>
      </c>
      <c r="J497">
        <f>_xll.BDP("WST UN Equity","CHG_PCT_YTD_RT")</f>
        <v>-8.5084999999999997</v>
      </c>
    </row>
    <row r="498" spans="1:10" x14ac:dyDescent="0.25">
      <c r="A498" t="s">
        <v>505</v>
      </c>
      <c r="B498">
        <f>_xll.BDP("WTW UW Equity","LAST_PRICE")</f>
        <v>312.22000000000003</v>
      </c>
      <c r="C498">
        <f>_xll.BDP("WTW UW Equity","LAST_PRICE")</f>
        <v>312.22000000000003</v>
      </c>
      <c r="D498">
        <f>_xll.BDP("WTW UW Equity","LAST_PRICE")</f>
        <v>312.22000000000003</v>
      </c>
      <c r="E498">
        <f>_xll.BDP("WTW UW Equity","LAST_PRICE")</f>
        <v>312.22000000000003</v>
      </c>
      <c r="F498">
        <f>_xll.BDP("WTW UW Equity","RT_PX_CHG_PCT_1D")</f>
        <v>-3.2086000442504883</v>
      </c>
      <c r="G498">
        <f>_xll.BDP("WTW UW Equity","REALTIME_5_DAY_CHANGE_PERCENT")</f>
        <v>-2.5834999999999999</v>
      </c>
      <c r="H498">
        <f>_xll.BDP("WTW UW Equity","CHG_PCT_1M_RT")</f>
        <v>-1.2899</v>
      </c>
      <c r="I498">
        <f>_xll.BDP("WTW UW Equity","CHG_PCT_3M_RT")</f>
        <v>6.0674000000000001</v>
      </c>
      <c r="J498">
        <f>_xll.BDP("WTW UW Equity","CHG_PCT_YTD_RT")</f>
        <v>29.444400000000002</v>
      </c>
    </row>
    <row r="499" spans="1:10" x14ac:dyDescent="0.25">
      <c r="A499" t="s">
        <v>506</v>
      </c>
      <c r="B499">
        <f>_xll.BDP("WY UN Equity","LAST_PRICE")</f>
        <v>31.74</v>
      </c>
      <c r="C499">
        <f>_xll.BDP("WY UN Equity","LAST_PRICE")</f>
        <v>31.74</v>
      </c>
      <c r="D499">
        <f>_xll.BDP("WY UN Equity","LAST_PRICE")</f>
        <v>31.74</v>
      </c>
      <c r="E499">
        <f>_xll.BDP("WY UN Equity","LAST_PRICE")</f>
        <v>31.74</v>
      </c>
      <c r="F499">
        <f>_xll.BDP("WY UN Equity","RT_PX_CHG_PCT_1D")</f>
        <v>1.4381999969482422</v>
      </c>
      <c r="G499">
        <f>_xll.BDP("WY UN Equity","REALTIME_5_DAY_CHANGE_PERCENT")</f>
        <v>-0.71940000000000004</v>
      </c>
      <c r="H499">
        <f>_xll.BDP("WY UN Equity","CHG_PCT_1M_RT")</f>
        <v>-0.47039999999999998</v>
      </c>
      <c r="I499">
        <f>_xll.BDP("WY UN Equity","CHG_PCT_3M_RT")</f>
        <v>4.8563000000000001</v>
      </c>
      <c r="J499">
        <f>_xll.BDP("WY UN Equity","CHG_PCT_YTD_RT")</f>
        <v>-8.7143999999999995</v>
      </c>
    </row>
    <row r="500" spans="1:10" x14ac:dyDescent="0.25">
      <c r="A500" t="s">
        <v>507</v>
      </c>
      <c r="B500">
        <f>_xll.BDP("WYNN UW Equity","LAST_PRICE")</f>
        <v>95.94</v>
      </c>
      <c r="C500">
        <f>_xll.BDP("WYNN UW Equity","LAST_PRICE")</f>
        <v>95.94</v>
      </c>
      <c r="D500">
        <f>_xll.BDP("WYNN UW Equity","LAST_PRICE")</f>
        <v>95.94</v>
      </c>
      <c r="E500">
        <f>_xll.BDP("WYNN UW Equity","LAST_PRICE")</f>
        <v>95.94</v>
      </c>
      <c r="F500">
        <f>_xll.BDP("WYNN UW Equity","RT_PX_CHG_PCT_1D")</f>
        <v>1.6636999845504761</v>
      </c>
      <c r="G500">
        <f>_xll.BDP("WYNN UW Equity","REALTIME_5_DAY_CHANGE_PERCENT")</f>
        <v>-0.2288</v>
      </c>
      <c r="H500">
        <f>_xll.BDP("WYNN UW Equity","CHG_PCT_1M_RT")</f>
        <v>13.8078</v>
      </c>
      <c r="I500">
        <f>_xll.BDP("WYNN UW Equity","CHG_PCT_3M_RT")</f>
        <v>24.743200000000002</v>
      </c>
      <c r="J500">
        <f>_xll.BDP("WYNN UW Equity","CHG_PCT_YTD_RT")</f>
        <v>5.3013000000000003</v>
      </c>
    </row>
    <row r="501" spans="1:10" x14ac:dyDescent="0.25">
      <c r="A501" t="s">
        <v>508</v>
      </c>
      <c r="B501">
        <f>_xll.BDP("XEL UW Equity","LAST_PRICE")</f>
        <v>69.11</v>
      </c>
      <c r="C501">
        <f>_xll.BDP("XEL UW Equity","LAST_PRICE")</f>
        <v>69.11</v>
      </c>
      <c r="D501">
        <f>_xll.BDP("XEL UW Equity","LAST_PRICE")</f>
        <v>69.11</v>
      </c>
      <c r="E501">
        <f>_xll.BDP("XEL UW Equity","LAST_PRICE")</f>
        <v>69.11</v>
      </c>
      <c r="F501">
        <f>_xll.BDP("XEL UW Equity","RT_PX_CHG_PCT_1D")</f>
        <v>-0.9034000039100647</v>
      </c>
      <c r="G501">
        <f>_xll.BDP("XEL UW Equity","REALTIME_5_DAY_CHANGE_PERCENT")</f>
        <v>-2.9354</v>
      </c>
      <c r="H501">
        <f>_xll.BDP("XEL UW Equity","CHG_PCT_1M_RT")</f>
        <v>2.5828000000000002</v>
      </c>
      <c r="I501">
        <f>_xll.BDP("XEL UW Equity","CHG_PCT_3M_RT")</f>
        <v>8.8518000000000008</v>
      </c>
      <c r="J501">
        <f>_xll.BDP("XEL UW Equity","CHG_PCT_YTD_RT")</f>
        <v>11.629799999999999</v>
      </c>
    </row>
    <row r="502" spans="1:10" x14ac:dyDescent="0.25">
      <c r="A502" t="s">
        <v>509</v>
      </c>
      <c r="B502">
        <f>_xll.BDP("XOM UN Equity","LAST_PRICE")</f>
        <v>112.9</v>
      </c>
      <c r="C502">
        <f>_xll.BDP("XOM UN Equity","LAST_PRICE")</f>
        <v>112.9</v>
      </c>
      <c r="D502">
        <f>_xll.BDP("XOM UN Equity","LAST_PRICE")</f>
        <v>112.9</v>
      </c>
      <c r="E502">
        <f>_xll.BDP("XOM UN Equity","LAST_PRICE")</f>
        <v>112.9</v>
      </c>
      <c r="F502">
        <f>_xll.BDP("XOM UN Equity","RT_PX_CHG_PCT_1D")</f>
        <v>-0.58990001678466797</v>
      </c>
      <c r="G502">
        <f>_xll.BDP("XOM UN Equity","REALTIME_5_DAY_CHANGE_PERCENT")</f>
        <v>-4.2003000000000004</v>
      </c>
      <c r="H502">
        <f>_xll.BDP("XOM UN Equity","CHG_PCT_1M_RT")</f>
        <v>-6.7789999999999999</v>
      </c>
      <c r="I502">
        <f>_xll.BDP("XOM UN Equity","CHG_PCT_3M_RT")</f>
        <v>-1.8346</v>
      </c>
      <c r="J502">
        <f>_xll.BDP("XOM UN Equity","CHG_PCT_YTD_RT")</f>
        <v>12.922599999999999</v>
      </c>
    </row>
    <row r="503" spans="1:10" x14ac:dyDescent="0.25">
      <c r="A503" t="s">
        <v>510</v>
      </c>
      <c r="B503">
        <f>_xll.BDP("XYL UN Equity","LAST_PRICE")</f>
        <v>129.35</v>
      </c>
      <c r="C503">
        <f>_xll.BDP("XYL UN Equity","LAST_PRICE")</f>
        <v>129.35</v>
      </c>
      <c r="D503">
        <f>_xll.BDP("XYL UN Equity","LAST_PRICE")</f>
        <v>129.35</v>
      </c>
      <c r="E503">
        <f>_xll.BDP("XYL UN Equity","LAST_PRICE")</f>
        <v>129.35</v>
      </c>
      <c r="F503">
        <f>_xll.BDP("XYL UN Equity","RT_PX_CHG_PCT_1D")</f>
        <v>2.3582000732421875</v>
      </c>
      <c r="G503">
        <f>_xll.BDP("XYL UN Equity","REALTIME_5_DAY_CHANGE_PERCENT")</f>
        <v>1.8424</v>
      </c>
      <c r="H503">
        <f>_xll.BDP("XYL UN Equity","CHG_PCT_1M_RT")</f>
        <v>4.0042</v>
      </c>
      <c r="I503">
        <f>_xll.BDP("XYL UN Equity","CHG_PCT_3M_RT")</f>
        <v>3.09E-2</v>
      </c>
      <c r="J503">
        <f>_xll.BDP("XYL UN Equity","CHG_PCT_YTD_RT")</f>
        <v>13.107699999999999</v>
      </c>
    </row>
    <row r="504" spans="1:10" x14ac:dyDescent="0.25">
      <c r="A504" t="s">
        <v>511</v>
      </c>
      <c r="B504">
        <f>_xll.BDP("YUM UN Equity","LAST_PRICE")</f>
        <v>139.08000000000001</v>
      </c>
      <c r="C504">
        <f>_xll.BDP("YUM UN Equity","LAST_PRICE")</f>
        <v>139.08000000000001</v>
      </c>
      <c r="D504">
        <f>_xll.BDP("YUM UN Equity","LAST_PRICE")</f>
        <v>139.08000000000001</v>
      </c>
      <c r="E504">
        <f>_xll.BDP("YUM UN Equity","LAST_PRICE")</f>
        <v>139.08000000000001</v>
      </c>
      <c r="F504">
        <f>_xll.BDP("YUM UN Equity","RT_PX_CHG_PCT_1D")</f>
        <v>1.0535000562667847</v>
      </c>
      <c r="G504">
        <f>_xll.BDP("YUM UN Equity","REALTIME_5_DAY_CHANGE_PERCENT")</f>
        <v>3.5999999999999997E-2</v>
      </c>
      <c r="H504">
        <f>_xll.BDP("YUM UN Equity","CHG_PCT_1M_RT")</f>
        <v>1.3629</v>
      </c>
      <c r="I504">
        <f>_xll.BDP("YUM UN Equity","CHG_PCT_3M_RT")</f>
        <v>4.54</v>
      </c>
      <c r="J504">
        <f>_xll.BDP("YUM UN Equity","CHG_PCT_YTD_RT")</f>
        <v>6.4442000000000004</v>
      </c>
    </row>
    <row r="505" spans="1:10" x14ac:dyDescent="0.25">
      <c r="A505" t="s">
        <v>512</v>
      </c>
      <c r="B505">
        <f>_xll.BDP("ZBH UN Equity","LAST_PRICE")</f>
        <v>109.47</v>
      </c>
      <c r="C505">
        <f>_xll.BDP("ZBH UN Equity","LAST_PRICE")</f>
        <v>109.47</v>
      </c>
      <c r="D505">
        <f>_xll.BDP("ZBH UN Equity","LAST_PRICE")</f>
        <v>109.47</v>
      </c>
      <c r="E505">
        <f>_xll.BDP("ZBH UN Equity","LAST_PRICE")</f>
        <v>109.47</v>
      </c>
      <c r="F505">
        <f>_xll.BDP("ZBH UN Equity","RT_PX_CHG_PCT_1D")</f>
        <v>1.3329999446868896</v>
      </c>
      <c r="G505">
        <f>_xll.BDP("ZBH UN Equity","REALTIME_5_DAY_CHANGE_PERCENT")</f>
        <v>-0.93210000000000004</v>
      </c>
      <c r="H505">
        <f>_xll.BDP("ZBH UN Equity","CHG_PCT_1M_RT")</f>
        <v>1.1924999999999999</v>
      </c>
      <c r="I505">
        <f>_xll.BDP("ZBH UN Equity","CHG_PCT_3M_RT")</f>
        <v>4.4261999999999997</v>
      </c>
      <c r="J505">
        <f>_xll.BDP("ZBH UN Equity","CHG_PCT_YTD_RT")</f>
        <v>-10.049300000000001</v>
      </c>
    </row>
    <row r="506" spans="1:10" x14ac:dyDescent="0.25">
      <c r="A506" t="s">
        <v>513</v>
      </c>
      <c r="B506">
        <f>_xll.BDP("ZBRA UW Equity","LAST_PRICE")</f>
        <v>411.23</v>
      </c>
      <c r="C506">
        <f>_xll.BDP("ZBRA UW Equity","LAST_PRICE")</f>
        <v>411.23</v>
      </c>
      <c r="D506">
        <f>_xll.BDP("ZBRA UW Equity","LAST_PRICE")</f>
        <v>411.23</v>
      </c>
      <c r="E506">
        <f>_xll.BDP("ZBRA UW Equity","LAST_PRICE")</f>
        <v>411.23</v>
      </c>
      <c r="F506">
        <f>_xll.BDP("ZBRA UW Equity","RT_PX_CHG_PCT_1D")</f>
        <v>0.46660000085830688</v>
      </c>
      <c r="G506">
        <f>_xll.BDP("ZBRA UW Equity","REALTIME_5_DAY_CHANGE_PERCENT")</f>
        <v>0.29020000000000001</v>
      </c>
      <c r="H506">
        <f>_xll.BDP("ZBRA UW Equity","CHG_PCT_1M_RT")</f>
        <v>2.9851000000000001</v>
      </c>
      <c r="I506">
        <f>_xll.BDP("ZBRA UW Equity","CHG_PCT_3M_RT")</f>
        <v>25.401800000000001</v>
      </c>
      <c r="J506">
        <f>_xll.BDP("ZBRA UW Equity","CHG_PCT_YTD_RT")</f>
        <v>50.451799999999999</v>
      </c>
    </row>
    <row r="507" spans="1:10" x14ac:dyDescent="0.25">
      <c r="A507" t="s">
        <v>514</v>
      </c>
      <c r="B507">
        <f>_xll.BDP("ZTS UN Equity","LAST_PRICE")</f>
        <v>178.15</v>
      </c>
      <c r="C507">
        <f>_xll.BDP("ZTS UN Equity","LAST_PRICE")</f>
        <v>178.15</v>
      </c>
      <c r="D507">
        <f>_xll.BDP("ZTS UN Equity","LAST_PRICE")</f>
        <v>178.15</v>
      </c>
      <c r="E507">
        <f>_xll.BDP("ZTS UN Equity","LAST_PRICE")</f>
        <v>178.15</v>
      </c>
      <c r="F507">
        <f>_xll.BDP("ZTS UN Equity","RT_PX_CHG_PCT_1D")</f>
        <v>0.95770001411437988</v>
      </c>
      <c r="G507">
        <f>_xll.BDP("ZTS UN Equity","REALTIME_5_DAY_CHANGE_PERCENT")</f>
        <v>0.75790000000000002</v>
      </c>
      <c r="H507">
        <f>_xll.BDP("ZTS UN Equity","CHG_PCT_1M_RT")</f>
        <v>0.75219999999999998</v>
      </c>
      <c r="I507">
        <f>_xll.BDP("ZTS UN Equity","CHG_PCT_3M_RT")</f>
        <v>-7.0829000000000004</v>
      </c>
      <c r="J507">
        <f>_xll.BDP("ZTS UN Equity","CHG_PCT_YTD_RT")</f>
        <v>-9.7380999999999993</v>
      </c>
    </row>
    <row r="508" spans="1:10" x14ac:dyDescent="0.25">
      <c r="A508" t="s">
        <v>515</v>
      </c>
      <c r="B508">
        <f>_xll.BDP("CCMP Index","LAST_PRICE")</f>
        <v>19736.689999999999</v>
      </c>
      <c r="C508">
        <f>_xll.BDP("CCMP Index","LAST_PRICE")</f>
        <v>19736.689999999999</v>
      </c>
      <c r="D508">
        <f>_xll.BDP("CCMP Index","LAST_PRICE")</f>
        <v>19736.689999999999</v>
      </c>
      <c r="E508">
        <f>_xll.BDP("CCMP Index","LAST_PRICE")</f>
        <v>19736.689999999999</v>
      </c>
      <c r="F508">
        <f>_xll.BDP("CCMP Index","RT_PX_CHG_PCT_1D")</f>
        <v>-0.61970001459121704</v>
      </c>
      <c r="G508">
        <f>_xll.BDP("CCMP Index","REALTIME_5_DAY_CHANGE_PERCENT")</f>
        <v>1.7148000000000001</v>
      </c>
      <c r="H508">
        <f>_xll.BDP("CCMP Index","CHG_PCT_1M_RT")</f>
        <v>2.3327</v>
      </c>
      <c r="I508">
        <f>_xll.BDP("CCMP Index","CHG_PCT_3M_RT")</f>
        <v>16.8917</v>
      </c>
      <c r="J508">
        <f>_xll.BDP("CCMP Index","CHG_PCT_YTD_RT")</f>
        <v>31.478400000000001</v>
      </c>
    </row>
    <row r="509" spans="1:10" x14ac:dyDescent="0.25">
      <c r="A509" t="s">
        <v>516</v>
      </c>
      <c r="B509">
        <f>_xll.BDP("SPTSX Index","LAST_PRICE")</f>
        <v>25625.42</v>
      </c>
      <c r="C509">
        <f>_xll.BDP("SPTSX Index","LAST_PRICE")</f>
        <v>25625.42</v>
      </c>
      <c r="D509">
        <f>_xll.BDP("SPTSX Index","LAST_PRICE")</f>
        <v>25625.42</v>
      </c>
      <c r="E509">
        <f>_xll.BDP("SPTSX Index","LAST_PRICE")</f>
        <v>25625.42</v>
      </c>
      <c r="F509">
        <f>_xll.BDP("SPTSX Index","RT_PX_CHG_PCT_1D")</f>
        <v>-0.25839999318122864</v>
      </c>
      <c r="G509">
        <f>_xll.BDP("SPTSX Index","REALTIME_5_DAY_CHANGE_PERCENT")</f>
        <v>0.1371</v>
      </c>
      <c r="H509">
        <f>_xll.BDP("SPTSX Index","CHG_PCT_1M_RT")</f>
        <v>3.4977</v>
      </c>
      <c r="I509">
        <f>_xll.BDP("SPTSX Index","CHG_PCT_3M_RT")</f>
        <v>11.2835</v>
      </c>
      <c r="J509">
        <f>_xll.BDP("SPTSX Index","CHG_PCT_YTD_RT")</f>
        <v>22.267800000000001</v>
      </c>
    </row>
    <row r="510" spans="1:10" x14ac:dyDescent="0.25">
      <c r="A510" t="s">
        <v>517</v>
      </c>
      <c r="B510">
        <f>_xll.BDP("MEXBOL Index","LAST_PRICE")</f>
        <v>52177.02</v>
      </c>
      <c r="C510">
        <f>_xll.BDP("MEXBOL Index","LAST_PRICE")</f>
        <v>52177.02</v>
      </c>
      <c r="D510">
        <f>_xll.BDP("MEXBOL Index","LAST_PRICE")</f>
        <v>52177.02</v>
      </c>
      <c r="E510">
        <f>_xll.BDP("MEXBOL Index","LAST_PRICE")</f>
        <v>52177.02</v>
      </c>
      <c r="F510">
        <f>_xll.BDP("MEXBOL Index","RT_PX_CHG_PCT_1D")</f>
        <v>1.6129000186920166</v>
      </c>
      <c r="G510">
        <f>_xll.BDP("MEXBOL Index","REALTIME_5_DAY_CHANGE_PERCENT")</f>
        <v>3.4967999999999999</v>
      </c>
      <c r="H510">
        <f>_xll.BDP("MEXBOL Index","CHG_PCT_1M_RT")</f>
        <v>0.6401</v>
      </c>
      <c r="I510">
        <f>_xll.BDP("MEXBOL Index","CHG_PCT_3M_RT")</f>
        <v>2.0356999999999998</v>
      </c>
      <c r="J510">
        <f>_xll.BDP("MEXBOL Index","CHG_PCT_YTD_RT")</f>
        <v>-9.0775000000000006</v>
      </c>
    </row>
    <row r="511" spans="1:10" x14ac:dyDescent="0.25">
      <c r="A511" t="s">
        <v>518</v>
      </c>
      <c r="B511">
        <f>_xll.BDP("IBOV Index","LAST_PRICE")</f>
        <v>127210.19</v>
      </c>
      <c r="C511">
        <f>_xll.BDP("IBOV Index","LAST_PRICE")</f>
        <v>127210.19</v>
      </c>
      <c r="D511">
        <f>_xll.BDP("IBOV Index","LAST_PRICE")</f>
        <v>127210.19</v>
      </c>
      <c r="E511">
        <f>_xll.BDP("IBOV Index","LAST_PRICE")</f>
        <v>127210.19</v>
      </c>
      <c r="F511">
        <f>_xll.BDP("IBOV Index","RT_PX_CHG_PCT_1D")</f>
        <v>1.0039999485015869</v>
      </c>
      <c r="G511">
        <f>_xll.BDP("IBOV Index","REALTIME_5_DAY_CHANGE_PERCENT")</f>
        <v>1.5768</v>
      </c>
      <c r="H511">
        <f>_xll.BDP("IBOV Index","CHG_PCT_1M_RT")</f>
        <v>-0.48470000000000002</v>
      </c>
      <c r="I511">
        <f>_xll.BDP("IBOV Index","CHG_PCT_3M_RT")</f>
        <v>-5.5864000000000003</v>
      </c>
      <c r="J511">
        <f>_xll.BDP("IBOV Index","CHG_PCT_YTD_RT")</f>
        <v>-5.1980000000000004</v>
      </c>
    </row>
    <row r="512" spans="1:10" x14ac:dyDescent="0.25">
      <c r="A512" t="s">
        <v>519</v>
      </c>
      <c r="B512">
        <f>_xll.BDP("IPSA Index","LAST_PRICE")</f>
        <v>6714.12</v>
      </c>
      <c r="C512">
        <f>_xll.BDP("IPSA Index","LAST_PRICE")</f>
        <v>6714.12</v>
      </c>
      <c r="D512">
        <f>_xll.BDP("IPSA Index","LAST_PRICE")</f>
        <v>6714.12</v>
      </c>
      <c r="E512">
        <f>_xll.BDP("IPSA Index","LAST_PRICE")</f>
        <v>6714.12</v>
      </c>
      <c r="F512">
        <f>_xll.BDP("IPSA Index","RT_PX_CHG_PCT_1D")</f>
        <v>0.98470002412796021</v>
      </c>
      <c r="G512">
        <f>_xll.BDP("IPSA Index","REALTIME_5_DAY_CHANGE_PERCENT")</f>
        <v>1.1184000000000001</v>
      </c>
      <c r="H512">
        <f>_xll.BDP("IPSA Index","CHG_PCT_1M_RT")</f>
        <v>2.9817</v>
      </c>
      <c r="I512">
        <f>_xll.BDP("IPSA Index","CHG_PCT_3M_RT")</f>
        <v>7.7343000000000002</v>
      </c>
      <c r="J512">
        <f>_xll.BDP("IPSA Index","CHG_PCT_YTD_RT")</f>
        <v>8.3312000000000008</v>
      </c>
    </row>
    <row r="513" spans="1:10" x14ac:dyDescent="0.25">
      <c r="A513" t="s">
        <v>520</v>
      </c>
      <c r="B513">
        <f>_xll.BDP("COLCAP Index","LAST_PRICE")</f>
        <v>1379.45</v>
      </c>
      <c r="C513">
        <f>_xll.BDP("COLCAP Index","LAST_PRICE")</f>
        <v>1379.45</v>
      </c>
      <c r="D513">
        <f>_xll.BDP("COLCAP Index","LAST_PRICE")</f>
        <v>1379.45</v>
      </c>
      <c r="E513">
        <f>_xll.BDP("COLCAP Index","LAST_PRICE")</f>
        <v>1379.45</v>
      </c>
      <c r="F513">
        <f>_xll.BDP("COLCAP Index","RT_PX_CHG_PCT_1D")</f>
        <v>0.17499999701976776</v>
      </c>
      <c r="G513">
        <f>_xll.BDP("COLCAP Index","REALTIME_5_DAY_CHANGE_PERCENT")</f>
        <v>-1.3706</v>
      </c>
      <c r="H513">
        <f>_xll.BDP("COLCAP Index","CHG_PCT_1M_RT")</f>
        <v>3.3041</v>
      </c>
      <c r="I513">
        <f>_xll.BDP("COLCAP Index","CHG_PCT_3M_RT")</f>
        <v>4.3716999999999997</v>
      </c>
      <c r="J513">
        <f>_xll.BDP("COLCAP Index","CHG_PCT_YTD_RT")</f>
        <v>15.415800000000001</v>
      </c>
    </row>
    <row r="514" spans="1:10" x14ac:dyDescent="0.25">
      <c r="A514" t="s">
        <v>521</v>
      </c>
      <c r="B514">
        <f>_xll.BDP("MERVAL Index","LAST_PRICE")</f>
        <v>2228858.75</v>
      </c>
      <c r="C514">
        <f>_xll.BDP("MERVAL Index","LAST_PRICE")</f>
        <v>2228858.75</v>
      </c>
      <c r="D514">
        <f>_xll.BDP("MERVAL Index","LAST_PRICE")</f>
        <v>2228858.75</v>
      </c>
      <c r="E514">
        <f>_xll.BDP("MERVAL Index","LAST_PRICE")</f>
        <v>2228858.75</v>
      </c>
      <c r="F514">
        <f>_xll.BDP("MERVAL Index","RT_PX_CHG_PCT_1D")</f>
        <v>1.1993000507354736</v>
      </c>
      <c r="G514">
        <f>_xll.BDP("MERVAL Index","REALTIME_5_DAY_CHANGE_PERCENT")</f>
        <v>-3.0564</v>
      </c>
      <c r="H514">
        <f>_xll.BDP("MERVAL Index","CHG_PCT_1M_RT")</f>
        <v>13.457599999999999</v>
      </c>
      <c r="I514">
        <f>_xll.BDP("MERVAL Index","CHG_PCT_3M_RT")</f>
        <v>28.201699999999999</v>
      </c>
      <c r="J514">
        <f>_xll.BDP("MERVAL Index","CHG_PCT_YTD_RT")</f>
        <v>139.73849999999999</v>
      </c>
    </row>
    <row r="515" spans="1:10" x14ac:dyDescent="0.25">
      <c r="A515" t="s">
        <v>522</v>
      </c>
      <c r="B515">
        <f>_xll.BDP("SPBLPGPT Index","LAST_PRICE")</f>
        <v>29467.95</v>
      </c>
      <c r="C515">
        <f>_xll.BDP("SPBLPGPT Index","LAST_PRICE")</f>
        <v>29467.95</v>
      </c>
      <c r="D515">
        <f>_xll.BDP("SPBLPGPT Index","LAST_PRICE")</f>
        <v>29467.95</v>
      </c>
      <c r="E515">
        <f>_xll.BDP("SPBLPGPT Index","LAST_PRICE")</f>
        <v>29467.95</v>
      </c>
      <c r="F515">
        <f>_xll.BDP("SPBLPGPT Index","RT_PX_CHG_PCT_1D")</f>
        <v>-0.51499998569488525</v>
      </c>
      <c r="G515">
        <f>_xll.BDP("SPBLPGPT Index","REALTIME_5_DAY_CHANGE_PERCENT")</f>
        <v>-0.7097</v>
      </c>
      <c r="H515">
        <f>_xll.BDP("SPBLPGPT Index","CHG_PCT_1M_RT")</f>
        <v>-2.7039</v>
      </c>
      <c r="I515">
        <f>_xll.BDP("SPBLPGPT Index","CHG_PCT_3M_RT")</f>
        <v>4.1906999999999996</v>
      </c>
      <c r="J515">
        <f>_xll.BDP("SPBLPGPT Index","CHG_PCT_YTD_RT")</f>
        <v>13.5129</v>
      </c>
    </row>
    <row r="516" spans="1:10" x14ac:dyDescent="0.25">
      <c r="A516" s="2" t="s">
        <v>523</v>
      </c>
      <c r="B516" s="1"/>
      <c r="C516" s="1"/>
      <c r="D516" s="1"/>
      <c r="E516" s="1"/>
      <c r="F516" s="1"/>
      <c r="G516" s="1"/>
      <c r="H516" s="1"/>
      <c r="I516" s="1"/>
      <c r="J516" s="1"/>
    </row>
    <row r="517" spans="1:10" x14ac:dyDescent="0.25">
      <c r="A517" t="s">
        <v>524</v>
      </c>
      <c r="B517">
        <f>_xll.BDP("SX5E Index","LAST_PRICE")</f>
        <v>4985.46</v>
      </c>
      <c r="C517">
        <f>_xll.BDP("SX5E Index","LAST_PRICE")</f>
        <v>4985.46</v>
      </c>
      <c r="D517">
        <f>_xll.BDP("SX5E Index","LAST_PRICE")</f>
        <v>4985.46</v>
      </c>
      <c r="E517">
        <f>_xll.BDP("SX5E Index","LAST_PRICE")</f>
        <v>4985.46</v>
      </c>
      <c r="F517">
        <f>_xll.BDP("SX5E Index","RT_PX_CHG_PCT_1D")</f>
        <v>0.15430000424385071</v>
      </c>
      <c r="G517">
        <f>_xll.BDP("SX5E Index","REALTIME_5_DAY_CHANGE_PERCENT")</f>
        <v>2.8622999999999998</v>
      </c>
      <c r="H517">
        <f>_xll.BDP("SX5E Index","CHG_PCT_1M_RT")</f>
        <v>3.8041</v>
      </c>
      <c r="I517">
        <f>_xll.BDP("SX5E Index","CHG_PCT_3M_RT")</f>
        <v>4.3276000000000003</v>
      </c>
      <c r="J517">
        <f>_xll.BDP("SX5E Index","CHG_PCT_YTD_RT")</f>
        <v>10.262700000000001</v>
      </c>
    </row>
    <row r="518" spans="1:10" x14ac:dyDescent="0.25">
      <c r="A518" t="s">
        <v>525</v>
      </c>
      <c r="B518">
        <f>_xll.BDP("UKX Index","LAST_PRICE")</f>
        <v>8352.08</v>
      </c>
      <c r="C518">
        <f>_xll.BDP("UKX Index","LAST_PRICE")</f>
        <v>8352.08</v>
      </c>
      <c r="D518">
        <f>_xll.BDP("UKX Index","LAST_PRICE")</f>
        <v>8352.08</v>
      </c>
      <c r="E518">
        <f>_xll.BDP("UKX Index","LAST_PRICE")</f>
        <v>8352.08</v>
      </c>
      <c r="F518">
        <f>_xll.BDP("UKX Index","RT_PX_CHG_PCT_1D")</f>
        <v>0.52319997549057007</v>
      </c>
      <c r="G518">
        <f>_xll.BDP("UKX Index","REALTIME_5_DAY_CHANGE_PERCENT")</f>
        <v>0.47139999999999999</v>
      </c>
      <c r="H518">
        <f>_xll.BDP("UKX Index","CHG_PCT_1M_RT")</f>
        <v>3.4647999999999999</v>
      </c>
      <c r="I518">
        <f>_xll.BDP("UKX Index","CHG_PCT_3M_RT")</f>
        <v>0.98219999999999996</v>
      </c>
      <c r="J518">
        <f>_xll.BDP("UKX Index","CHG_PCT_YTD_RT")</f>
        <v>8.0023</v>
      </c>
    </row>
    <row r="519" spans="1:10" x14ac:dyDescent="0.25">
      <c r="A519" t="s">
        <v>526</v>
      </c>
      <c r="B519">
        <f>_xll.BDP("CAC Index","LAST_PRICE")</f>
        <v>7480.14</v>
      </c>
      <c r="C519">
        <f>_xll.BDP("CAC Index","LAST_PRICE")</f>
        <v>7480.14</v>
      </c>
      <c r="D519">
        <f>_xll.BDP("CAC Index","LAST_PRICE")</f>
        <v>7480.14</v>
      </c>
      <c r="E519">
        <f>_xll.BDP("CAC Index","LAST_PRICE")</f>
        <v>7480.14</v>
      </c>
      <c r="F519">
        <f>_xll.BDP("CAC Index","RT_PX_CHG_PCT_1D")</f>
        <v>0.71710002422332764</v>
      </c>
      <c r="G519">
        <f>_xll.BDP("CAC Index","REALTIME_5_DAY_CHANGE_PERCENT")</f>
        <v>3.3613</v>
      </c>
      <c r="H519">
        <f>_xll.BDP("CAC Index","CHG_PCT_1M_RT")</f>
        <v>1.9277</v>
      </c>
      <c r="I519">
        <f>_xll.BDP("CAC Index","CHG_PCT_3M_RT")</f>
        <v>0.73909999999999998</v>
      </c>
      <c r="J519">
        <f>_xll.BDP("CAC Index","CHG_PCT_YTD_RT")</f>
        <v>-0.8357</v>
      </c>
    </row>
    <row r="520" spans="1:10" x14ac:dyDescent="0.25">
      <c r="A520" t="s">
        <v>527</v>
      </c>
      <c r="B520">
        <f>_xll.BDP("DAX Index","LAST_PRICE")</f>
        <v>20345.96</v>
      </c>
      <c r="C520">
        <f>_xll.BDP("DAX Index","LAST_PRICE")</f>
        <v>20345.96</v>
      </c>
      <c r="D520">
        <f>_xll.BDP("DAX Index","LAST_PRICE")</f>
        <v>20345.96</v>
      </c>
      <c r="E520">
        <f>_xll.BDP("DAX Index","LAST_PRICE")</f>
        <v>20345.96</v>
      </c>
      <c r="F520">
        <f>_xll.BDP("DAX Index","RT_PX_CHG_PCT_1D")</f>
        <v>-0.18960000574588776</v>
      </c>
      <c r="G520">
        <f>_xll.BDP("DAX Index","REALTIME_5_DAY_CHANGE_PERCENT")</f>
        <v>2.0686</v>
      </c>
      <c r="H520">
        <f>_xll.BDP("DAX Index","CHG_PCT_1M_RT")</f>
        <v>5.8832000000000004</v>
      </c>
      <c r="I520">
        <f>_xll.BDP("DAX Index","CHG_PCT_3M_RT")</f>
        <v>10.3147</v>
      </c>
      <c r="J520">
        <f>_xll.BDP("DAX Index","CHG_PCT_YTD_RT")</f>
        <v>21.456499999999998</v>
      </c>
    </row>
    <row r="521" spans="1:10" x14ac:dyDescent="0.25">
      <c r="A521" t="s">
        <v>528</v>
      </c>
      <c r="B521">
        <f>_xll.BDP("IBEX Index","LAST_PRICE")</f>
        <v>12011.5</v>
      </c>
      <c r="C521">
        <f>_xll.BDP("IBEX Index","LAST_PRICE")</f>
        <v>12011.5</v>
      </c>
      <c r="D521">
        <f>_xll.BDP("IBEX Index","LAST_PRICE")</f>
        <v>12011.5</v>
      </c>
      <c r="E521">
        <f>_xll.BDP("IBEX Index","LAST_PRICE")</f>
        <v>12011.5</v>
      </c>
      <c r="F521">
        <f>_xll.BDP("IBEX Index","RT_PX_CHG_PCT_1D")</f>
        <v>-0.50120002031326294</v>
      </c>
      <c r="G521">
        <f>_xll.BDP("IBEX Index","REALTIME_5_DAY_CHANGE_PERCENT")</f>
        <v>2.3536000000000001</v>
      </c>
      <c r="H521">
        <f>_xll.BDP("IBEX Index","CHG_PCT_1M_RT")</f>
        <v>3.9813000000000001</v>
      </c>
      <c r="I521">
        <f>_xll.BDP("IBEX Index","CHG_PCT_3M_RT")</f>
        <v>6.5529000000000002</v>
      </c>
      <c r="J521">
        <f>_xll.BDP("IBEX Index","CHG_PCT_YTD_RT")</f>
        <v>18.901</v>
      </c>
    </row>
    <row r="522" spans="1:10" x14ac:dyDescent="0.25">
      <c r="A522" t="s">
        <v>529</v>
      </c>
      <c r="B522">
        <f>_xll.BDP("FTSEMIB Index","LAST_PRICE")</f>
        <v>34559.83</v>
      </c>
      <c r="C522">
        <f>_xll.BDP("FTSEMIB Index","LAST_PRICE")</f>
        <v>34559.83</v>
      </c>
      <c r="D522">
        <f>_xll.BDP("FTSEMIB Index","LAST_PRICE")</f>
        <v>34559.83</v>
      </c>
      <c r="E522">
        <f>_xll.BDP("FTSEMIB Index","LAST_PRICE")</f>
        <v>34559.83</v>
      </c>
      <c r="F522">
        <f>_xll.BDP("FTSEMIB Index","RT_PX_CHG_PCT_1D")</f>
        <v>-0.54579997062683105</v>
      </c>
      <c r="G522">
        <f>_xll.BDP("FTSEMIB Index","REALTIME_5_DAY_CHANGE_PERCENT")</f>
        <v>3.2155</v>
      </c>
      <c r="H522">
        <f>_xll.BDP("FTSEMIB Index","CHG_PCT_1M_RT")</f>
        <v>2.1979000000000002</v>
      </c>
      <c r="I522">
        <f>_xll.BDP("FTSEMIB Index","CHG_PCT_3M_RT")</f>
        <v>2.8862000000000001</v>
      </c>
      <c r="J522">
        <f>_xll.BDP("FTSEMIB Index","CHG_PCT_YTD_RT")</f>
        <v>13.8649</v>
      </c>
    </row>
    <row r="523" spans="1:10" x14ac:dyDescent="0.25">
      <c r="A523" t="s">
        <v>530</v>
      </c>
      <c r="B523">
        <f>_xll.BDP("AEX Index","LAST_PRICE")</f>
        <v>894.72</v>
      </c>
      <c r="C523">
        <f>_xll.BDP("AEX Index","LAST_PRICE")</f>
        <v>894.72</v>
      </c>
      <c r="D523">
        <f>_xll.BDP("AEX Index","LAST_PRICE")</f>
        <v>894.72</v>
      </c>
      <c r="E523">
        <f>_xll.BDP("AEX Index","LAST_PRICE")</f>
        <v>894.72</v>
      </c>
      <c r="F523">
        <f>_xll.BDP("AEX Index","RT_PX_CHG_PCT_1D")</f>
        <v>0.34209999442100525</v>
      </c>
      <c r="G523">
        <f>_xll.BDP("AEX Index","REALTIME_5_DAY_CHANGE_PERCENT")</f>
        <v>0.79649999999999999</v>
      </c>
      <c r="H523">
        <f>_xll.BDP("AEX Index","CHG_PCT_1M_RT")</f>
        <v>2.3496000000000001</v>
      </c>
      <c r="I523">
        <f>_xll.BDP("AEX Index","CHG_PCT_3M_RT")</f>
        <v>0.72160000000000002</v>
      </c>
      <c r="J523">
        <f>_xll.BDP("AEX Index","CHG_PCT_YTD_RT")</f>
        <v>13.7134</v>
      </c>
    </row>
    <row r="524" spans="1:10" x14ac:dyDescent="0.25">
      <c r="A524" t="s">
        <v>531</v>
      </c>
      <c r="B524">
        <f>_xll.BDP("OMX Index","LAST_PRICE")</f>
        <v>2617.8000000000002</v>
      </c>
      <c r="C524">
        <f>_xll.BDP("OMX Index","LAST_PRICE")</f>
        <v>2617.8000000000002</v>
      </c>
      <c r="D524">
        <f>_xll.BDP("OMX Index","LAST_PRICE")</f>
        <v>2617.8000000000002</v>
      </c>
      <c r="E524">
        <f>_xll.BDP("OMX Index","LAST_PRICE")</f>
        <v>2617.8000000000002</v>
      </c>
      <c r="F524">
        <f>_xll.BDP("OMX Index","RT_PX_CHG_PCT_1D")</f>
        <v>0.13510000705718994</v>
      </c>
      <c r="G524">
        <f>_xll.BDP("OMX Index","REALTIME_5_DAY_CHANGE_PERCENT")</f>
        <v>2.734</v>
      </c>
      <c r="H524">
        <f>_xll.BDP("OMX Index","CHG_PCT_1M_RT")</f>
        <v>2.3079999999999998</v>
      </c>
      <c r="I524">
        <f>_xll.BDP("OMX Index","CHG_PCT_3M_RT")</f>
        <v>4.2348999999999997</v>
      </c>
      <c r="J524">
        <f>_xll.BDP("OMX Index","CHG_PCT_YTD_RT")</f>
        <v>9.2539999999999996</v>
      </c>
    </row>
    <row r="525" spans="1:10" x14ac:dyDescent="0.25">
      <c r="A525" t="s">
        <v>532</v>
      </c>
      <c r="B525">
        <f>_xll.BDP("SMI Index","LAST_PRICE")</f>
        <v>11761.72</v>
      </c>
      <c r="C525">
        <f>_xll.BDP("SMI Index","LAST_PRICE")</f>
        <v>11761.72</v>
      </c>
      <c r="D525">
        <f>_xll.BDP("SMI Index","LAST_PRICE")</f>
        <v>11761.72</v>
      </c>
      <c r="E525">
        <f>_xll.BDP("SMI Index","LAST_PRICE")</f>
        <v>11761.72</v>
      </c>
      <c r="F525">
        <f>_xll.BDP("SMI Index","RT_PX_CHG_PCT_1D")</f>
        <v>-0.1606999933719635</v>
      </c>
      <c r="G525">
        <f>_xll.BDP("SMI Index","REALTIME_5_DAY_CHANGE_PERCENT")</f>
        <v>-0.57079999999999997</v>
      </c>
      <c r="H525">
        <f>_xll.BDP("SMI Index","CHG_PCT_1M_RT")</f>
        <v>-0.30509999999999998</v>
      </c>
      <c r="I525">
        <f>_xll.BDP("SMI Index","CHG_PCT_3M_RT")</f>
        <v>-1.8272999999999999</v>
      </c>
      <c r="J525">
        <f>_xll.BDP("SMI Index","CHG_PCT_YTD_RT")</f>
        <v>5.6018999999999997</v>
      </c>
    </row>
    <row r="526" spans="1:10" x14ac:dyDescent="0.25">
      <c r="A526" t="s">
        <v>533</v>
      </c>
      <c r="B526" t="str">
        <f>_xll.BDP("RTSI$ Index","LAST_PRICE")</f>
        <v>#N/A N/A</v>
      </c>
      <c r="C526" t="str">
        <f>_xll.BDP("RTSI$ Index","LAST_PRICE")</f>
        <v>#N/A N/A</v>
      </c>
      <c r="D526" t="str">
        <f>_xll.BDP("RTSI$ Index","LAST_PRICE")</f>
        <v>#N/A N/A</v>
      </c>
      <c r="E526" t="str">
        <f>_xll.BDP("RTSI$ Index","LAST_PRICE")</f>
        <v>#N/A N/A</v>
      </c>
      <c r="F526" t="str">
        <f>_xll.BDP("RTSI$ Index","RT_PX_CHG_PCT_1D")</f>
        <v>#N/A N/A</v>
      </c>
      <c r="G526" t="str">
        <f>_xll.BDP("RTSI$ Index","REALTIME_5_DAY_CHANGE_PERCENT")</f>
        <v>#N/A N/A</v>
      </c>
      <c r="H526" t="str">
        <f>_xll.BDP("RTSI$ Index","CHG_PCT_1M_RT")</f>
        <v>#N/A N/A</v>
      </c>
      <c r="I526" t="str">
        <f>_xll.BDP("RTSI$ Index","CHG_PCT_3M_RT")</f>
        <v>#N/A N/A</v>
      </c>
      <c r="J526" t="str">
        <f>_xll.BDP("RTSI$ Index","CHG_PCT_YTD_RT")</f>
        <v>#N/A N/A</v>
      </c>
    </row>
    <row r="527" spans="1:10" x14ac:dyDescent="0.25">
      <c r="A527" s="2" t="s">
        <v>534</v>
      </c>
      <c r="B527" s="1"/>
      <c r="C527" s="1"/>
      <c r="D527" s="1"/>
      <c r="E527" s="1"/>
      <c r="F527" s="1"/>
      <c r="G527" s="1"/>
      <c r="H527" s="1"/>
      <c r="I527" s="1"/>
      <c r="J527" s="1"/>
    </row>
    <row r="528" spans="1:10" x14ac:dyDescent="0.25">
      <c r="A528" t="s">
        <v>535</v>
      </c>
      <c r="B528">
        <f>_xll.BDP("NKY Index","LAST_PRICE")</f>
        <v>39160.5</v>
      </c>
      <c r="C528">
        <f>_xll.BDP("NKY Index","LAST_PRICE")</f>
        <v>39160.5</v>
      </c>
      <c r="D528">
        <f>_xll.BDP("NKY Index","LAST_PRICE")</f>
        <v>39160.5</v>
      </c>
      <c r="E528">
        <f>_xll.BDP("NKY Index","LAST_PRICE")</f>
        <v>39160.5</v>
      </c>
      <c r="F528">
        <f>_xll.BDP("NKY Index","RT_PX_CHG_PCT_1D")</f>
        <v>0.17739999294281006</v>
      </c>
      <c r="G528">
        <f>_xll.BDP("NKY Index","REALTIME_5_DAY_CHANGE_PERCENT")</f>
        <v>1.6812</v>
      </c>
      <c r="H528">
        <f>_xll.BDP("NKY Index","CHG_PCT_1M_RT")</f>
        <v>-0.86040000000000005</v>
      </c>
      <c r="I528">
        <f>_xll.BDP("NKY Index","CHG_PCT_3M_RT")</f>
        <v>8.3003999999999998</v>
      </c>
      <c r="J528">
        <f>_xll.BDP("NKY Index","CHG_PCT_YTD_RT")</f>
        <v>17.022200000000002</v>
      </c>
    </row>
    <row r="529" spans="1:10" x14ac:dyDescent="0.25">
      <c r="A529" t="s">
        <v>536</v>
      </c>
      <c r="B529">
        <f>_xll.BDP("HSI Index","LAST_PRICE")</f>
        <v>20414.09</v>
      </c>
      <c r="C529">
        <f>_xll.BDP("HSI Index","LAST_PRICE")</f>
        <v>20414.09</v>
      </c>
      <c r="D529">
        <f>_xll.BDP("HSI Index","LAST_PRICE")</f>
        <v>20414.09</v>
      </c>
      <c r="E529">
        <f>_xll.BDP("HSI Index","LAST_PRICE")</f>
        <v>20414.09</v>
      </c>
      <c r="F529">
        <f>_xll.BDP("HSI Index","RT_PX_CHG_PCT_1D")</f>
        <v>2.7597000598907471</v>
      </c>
      <c r="G529">
        <f>_xll.BDP("HSI Index","REALTIME_5_DAY_CHANGE_PERCENT")</f>
        <v>4.4183000000000003</v>
      </c>
      <c r="H529">
        <f>_xll.BDP("HSI Index","CHG_PCT_1M_RT")</f>
        <v>-1.5153000000000001</v>
      </c>
      <c r="I529">
        <f>_xll.BDP("HSI Index","CHG_PCT_3M_RT")</f>
        <v>18.451799999999999</v>
      </c>
      <c r="J529">
        <f>_xll.BDP("HSI Index","CHG_PCT_YTD_RT")</f>
        <v>19.749099999999999</v>
      </c>
    </row>
    <row r="530" spans="1:10" x14ac:dyDescent="0.25">
      <c r="A530" t="s">
        <v>537</v>
      </c>
      <c r="B530">
        <f>_xll.BDP("SHSZ300 Index","LAST_PRICE")</f>
        <v>3966.57</v>
      </c>
      <c r="C530">
        <f>_xll.BDP("SHSZ300 Index","LAST_PRICE")</f>
        <v>3966.57</v>
      </c>
      <c r="D530">
        <f>_xll.BDP("SHSZ300 Index","LAST_PRICE")</f>
        <v>3966.57</v>
      </c>
      <c r="E530">
        <f>_xll.BDP("SHSZ300 Index","LAST_PRICE")</f>
        <v>3966.57</v>
      </c>
      <c r="F530">
        <f>_xll.BDP("SHSZ300 Index","RT_PX_CHG_PCT_1D")</f>
        <v>-0.16539999842643738</v>
      </c>
      <c r="G530">
        <f>_xll.BDP("SHSZ300 Index","REALTIME_5_DAY_CHANGE_PERCENT")</f>
        <v>0.4798</v>
      </c>
      <c r="H530">
        <f>_xll.BDP("SHSZ300 Index","CHG_PCT_1M_RT")</f>
        <v>-3.3498999999999999</v>
      </c>
      <c r="I530">
        <f>_xll.BDP("SHSZ300 Index","CHG_PCT_3M_RT")</f>
        <v>24.119800000000001</v>
      </c>
      <c r="J530">
        <f>_xll.BDP("SHSZ300 Index","CHG_PCT_YTD_RT")</f>
        <v>15.606</v>
      </c>
    </row>
    <row r="531" spans="1:10" x14ac:dyDescent="0.25">
      <c r="A531" t="s">
        <v>538</v>
      </c>
      <c r="B531">
        <f>_xll.BDP("AS51 Index","LAST_PRICE")</f>
        <v>8422.99</v>
      </c>
      <c r="C531">
        <f>_xll.BDP("AS51 Index","LAST_PRICE")</f>
        <v>8422.99</v>
      </c>
      <c r="D531">
        <f>_xll.BDP("AS51 Index","LAST_PRICE")</f>
        <v>8422.99</v>
      </c>
      <c r="E531">
        <f>_xll.BDP("AS51 Index","LAST_PRICE")</f>
        <v>8422.99</v>
      </c>
      <c r="F531">
        <f>_xll.BDP("AS51 Index","RT_PX_CHG_PCT_1D")</f>
        <v>2.5399999693036079E-2</v>
      </c>
      <c r="G531">
        <f>_xll.BDP("AS51 Index","REALTIME_5_DAY_CHANGE_PERCENT")</f>
        <v>-0.29430000000000001</v>
      </c>
      <c r="H531">
        <f>_xll.BDP("AS51 Index","CHG_PCT_1M_RT")</f>
        <v>1.5412999999999999</v>
      </c>
      <c r="I531">
        <f>_xll.BDP("AS51 Index","CHG_PCT_3M_RT")</f>
        <v>5.1304999999999996</v>
      </c>
      <c r="J531">
        <f>_xll.BDP("AS51 Index","CHG_PCT_YTD_RT")</f>
        <v>10.962899999999999</v>
      </c>
    </row>
    <row r="532" spans="1:10" x14ac:dyDescent="0.25">
      <c r="A532" t="s">
        <v>539</v>
      </c>
      <c r="B532">
        <f>_xll.BDP("KOSPI Index","LAST_PRICE")</f>
        <v>2360.58</v>
      </c>
      <c r="C532">
        <f>_xll.BDP("KOSPI Index","LAST_PRICE")</f>
        <v>2360.58</v>
      </c>
      <c r="D532">
        <f>_xll.BDP("KOSPI Index","LAST_PRICE")</f>
        <v>2360.58</v>
      </c>
      <c r="E532">
        <f>_xll.BDP("KOSPI Index","LAST_PRICE")</f>
        <v>2360.58</v>
      </c>
      <c r="F532">
        <f>_xll.BDP("KOSPI Index","RT_PX_CHG_PCT_1D")</f>
        <v>-2.7832000255584717</v>
      </c>
      <c r="G532">
        <f>_xll.BDP("KOSPI Index","REALTIME_5_DAY_CHANGE_PERCENT")</f>
        <v>-3.8256999999999999</v>
      </c>
      <c r="H532">
        <f>_xll.BDP("KOSPI Index","CHG_PCT_1M_RT")</f>
        <v>-7.8311999999999999</v>
      </c>
      <c r="I532">
        <f>_xll.BDP("KOSPI Index","CHG_PCT_3M_RT")</f>
        <v>-6.4535</v>
      </c>
      <c r="J532">
        <f>_xll.BDP("KOSPI Index","CHG_PCT_YTD_RT")</f>
        <v>-11.098599999999999</v>
      </c>
    </row>
    <row r="533" spans="1:10" x14ac:dyDescent="0.25">
      <c r="A533" t="s">
        <v>540</v>
      </c>
      <c r="B533">
        <f>_xll.BDP("NIFTY Index","LAST_PRICE")</f>
        <v>24619</v>
      </c>
      <c r="C533">
        <f>_xll.BDP("NIFTY Index","LAST_PRICE")</f>
        <v>24619</v>
      </c>
      <c r="D533">
        <f>_xll.BDP("NIFTY Index","LAST_PRICE")</f>
        <v>24619</v>
      </c>
      <c r="E533">
        <f>_xll.BDP("NIFTY Index","LAST_PRICE")</f>
        <v>24619</v>
      </c>
      <c r="F533">
        <f>_xll.BDP("NIFTY Index","RT_PX_CHG_PCT_1D")</f>
        <v>-0.23829999566078186</v>
      </c>
      <c r="G533">
        <f>_xll.BDP("NIFTY Index","REALTIME_5_DAY_CHANGE_PERCENT")</f>
        <v>1.4127000000000001</v>
      </c>
      <c r="H533">
        <f>_xll.BDP("NIFTY Index","CHG_PCT_1M_RT")</f>
        <v>1.9496</v>
      </c>
      <c r="I533">
        <f>_xll.BDP("NIFTY Index","CHG_PCT_3M_RT")</f>
        <v>-1.6856</v>
      </c>
      <c r="J533">
        <f>_xll.BDP("NIFTY Index","CHG_PCT_YTD_RT")</f>
        <v>13.287699999999999</v>
      </c>
    </row>
    <row r="534" spans="1:10" x14ac:dyDescent="0.25">
      <c r="A534" t="s">
        <v>541</v>
      </c>
      <c r="B534">
        <f>_xll.BDP("TWSE Index","LAST_PRICE")</f>
        <v>23273.25</v>
      </c>
      <c r="C534">
        <f>_xll.BDP("TWSE Index","LAST_PRICE")</f>
        <v>23273.25</v>
      </c>
      <c r="D534">
        <f>_xll.BDP("TWSE Index","LAST_PRICE")</f>
        <v>23273.25</v>
      </c>
      <c r="E534">
        <f>_xll.BDP("TWSE Index","LAST_PRICE")</f>
        <v>23273.25</v>
      </c>
      <c r="F534">
        <f>_xll.BDP("TWSE Index","RT_PX_CHG_PCT_1D")</f>
        <v>0.34479999542236328</v>
      </c>
      <c r="G534">
        <f>_xll.BDP("TWSE Index","REALTIME_5_DAY_CHANGE_PERCENT")</f>
        <v>2.3588</v>
      </c>
      <c r="H534">
        <f>_xll.BDP("TWSE Index","CHG_PCT_1M_RT")</f>
        <v>-1.1915</v>
      </c>
      <c r="I534">
        <f>_xll.BDP("TWSE Index","CHG_PCT_3M_RT")</f>
        <v>10.4879</v>
      </c>
      <c r="J534">
        <f>_xll.BDP("TWSE Index","CHG_PCT_YTD_RT")</f>
        <v>29.794699999999999</v>
      </c>
    </row>
    <row r="535" spans="1:10" x14ac:dyDescent="0.25">
      <c r="A535" t="s">
        <v>542</v>
      </c>
      <c r="B535">
        <f>_xll.BDP("JCI Index","LAST_PRICE")</f>
        <v>7437.73</v>
      </c>
      <c r="C535">
        <f>_xll.BDP("JCI Index","LAST_PRICE")</f>
        <v>7437.73</v>
      </c>
      <c r="D535">
        <f>_xll.BDP("JCI Index","LAST_PRICE")</f>
        <v>7437.73</v>
      </c>
      <c r="E535">
        <f>_xll.BDP("JCI Index","LAST_PRICE")</f>
        <v>7437.73</v>
      </c>
      <c r="F535">
        <f>_xll.BDP("JCI Index","RT_PX_CHG_PCT_1D")</f>
        <v>0.74419999122619629</v>
      </c>
      <c r="G535">
        <f>_xll.BDP("JCI Index","REALTIME_5_DAY_CHANGE_PERCENT")</f>
        <v>5.5448000000000004</v>
      </c>
      <c r="H535">
        <f>_xll.BDP("JCI Index","CHG_PCT_1M_RT")</f>
        <v>2.0657999999999999</v>
      </c>
      <c r="I535">
        <f>_xll.BDP("JCI Index","CHG_PCT_3M_RT")</f>
        <v>-4.1700999999999997</v>
      </c>
      <c r="J535">
        <f>_xll.BDP("JCI Index","CHG_PCT_YTD_RT")</f>
        <v>2.2677999999999998</v>
      </c>
    </row>
    <row r="536" spans="1:10" x14ac:dyDescent="0.25">
      <c r="A536" t="s">
        <v>543</v>
      </c>
      <c r="B536">
        <f>_xll.BDP("FBMKLCI Index","LAST_PRICE")</f>
        <v>1611.43</v>
      </c>
      <c r="C536">
        <f>_xll.BDP("FBMKLCI Index","LAST_PRICE")</f>
        <v>1611.43</v>
      </c>
      <c r="D536">
        <f>_xll.BDP("FBMKLCI Index","LAST_PRICE")</f>
        <v>1611.43</v>
      </c>
      <c r="E536">
        <f>_xll.BDP("FBMKLCI Index","LAST_PRICE")</f>
        <v>1611.43</v>
      </c>
      <c r="F536">
        <f>_xll.BDP("FBMKLCI Index","RT_PX_CHG_PCT_1D")</f>
        <v>-0.1128000020980835</v>
      </c>
      <c r="G536">
        <f>_xll.BDP("FBMKLCI Index","REALTIME_5_DAY_CHANGE_PERCENT")</f>
        <v>0.99970000000000003</v>
      </c>
      <c r="H536">
        <f>_xll.BDP("FBMKLCI Index","CHG_PCT_1M_RT")</f>
        <v>-0.60509999999999997</v>
      </c>
      <c r="I536">
        <f>_xll.BDP("FBMKLCI Index","CHG_PCT_3M_RT")</f>
        <v>-2.9464000000000001</v>
      </c>
      <c r="J536">
        <f>_xll.BDP("FBMKLCI Index","CHG_PCT_YTD_RT")</f>
        <v>10.777100000000001</v>
      </c>
    </row>
    <row r="537" spans="1:10" x14ac:dyDescent="0.25">
      <c r="A537" t="s">
        <v>544</v>
      </c>
      <c r="B537">
        <f>_xll.BDP("STI Index","LAST_PRICE")</f>
        <v>3794.92</v>
      </c>
      <c r="C537">
        <f>_xll.BDP("STI Index","LAST_PRICE")</f>
        <v>3794.92</v>
      </c>
      <c r="D537">
        <f>_xll.BDP("STI Index","LAST_PRICE")</f>
        <v>3794.92</v>
      </c>
      <c r="E537">
        <f>_xll.BDP("STI Index","LAST_PRICE")</f>
        <v>3794.92</v>
      </c>
      <c r="F537">
        <f>_xll.BDP("STI Index","RT_PX_CHG_PCT_1D")</f>
        <v>-3.2699998468160629E-2</v>
      </c>
      <c r="G537">
        <f>_xll.BDP("STI Index","REALTIME_5_DAY_CHANGE_PERCENT")</f>
        <v>1.1614</v>
      </c>
      <c r="H537">
        <f>_xll.BDP("STI Index","CHG_PCT_1M_RT")</f>
        <v>1.8943000000000001</v>
      </c>
      <c r="I537">
        <f>_xll.BDP("STI Index","CHG_PCT_3M_RT")</f>
        <v>8.0351999999999997</v>
      </c>
      <c r="J537">
        <f>_xll.BDP("STI Index","CHG_PCT_YTD_RT")</f>
        <v>17.1174</v>
      </c>
    </row>
  </sheetData>
  <mergeCells count="3">
    <mergeCell ref="A2:J2"/>
    <mergeCell ref="A516:J516"/>
    <mergeCell ref="A527:J5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wx2322</cp:lastModifiedBy>
  <dcterms:created xsi:type="dcterms:W3CDTF">2013-04-03T15:49:21Z</dcterms:created>
  <dcterms:modified xsi:type="dcterms:W3CDTF">2024-12-09T21:32:11Z</dcterms:modified>
</cp:coreProperties>
</file>